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8800" windowHeight="11976" tabRatio="938" firstSheet="5" activeTab="8"/>
  </bookViews>
  <sheets>
    <sheet name="Dados da empresa" sheetId="43" r:id="rId1"/>
    <sheet name="Instruções de preenchimento" sheetId="44" r:id="rId2"/>
    <sheet name="Proposta GLOBAL" sheetId="1" r:id="rId3"/>
    <sheet name="Lavador" sheetId="3" r:id="rId4"/>
    <sheet name="Limpeza" sheetId="2" r:id="rId5"/>
    <sheet name="Servente c VT PVH" sheetId="23" r:id="rId6"/>
    <sheet name="Servente c VT JPN" sheetId="37" r:id="rId7"/>
    <sheet name="Servente Sem VT" sheetId="39" r:id="rId8"/>
    <sheet name="Lavador c VT PVH" sheetId="40" r:id="rId9"/>
    <sheet name="Lavador c VT JPN" sheetId="41" r:id="rId10"/>
    <sheet name="Lavador Sem VT" sheetId="42" r:id="rId11"/>
    <sheet name="Uniformes" sheetId="17" state="hidden" r:id="rId12"/>
    <sheet name="área" sheetId="18" state="hidden" r:id="rId13"/>
    <sheet name="Uniforme" sheetId="19" r:id="rId14"/>
    <sheet name="Equip limpeza" sheetId="32" state="hidden" r:id="rId15"/>
    <sheet name="Equip lavador" sheetId="35" state="hidden" r:id="rId16"/>
    <sheet name="Mat. Limpeza" sheetId="49" r:id="rId17"/>
    <sheet name="Eq. Limpeza" sheetId="45" r:id="rId18"/>
    <sheet name="Mat. Lavador" sheetId="48" r:id="rId19"/>
    <sheet name="Eq. Lavador" sheetId="46" r:id="rId20"/>
    <sheet name="Qual. Econ-Financ." sheetId="50" r:id="rId21"/>
    <sheet name="Área Total" sheetId="20" r:id="rId22"/>
  </sheets>
  <definedNames>
    <definedName name="_xlnm._FilterDatabase" localSheetId="12" hidden="1">área!$A$1:$J$80</definedName>
    <definedName name="_xlnm._FilterDatabase" localSheetId="21" hidden="1">'Área Total'!$A$1:$J$75</definedName>
    <definedName name="_xlnm._FilterDatabase" localSheetId="16" hidden="1">'Mat. Limpeza'!#REF!</definedName>
    <definedName name="_xlnm.Print_Area" localSheetId="14">'Equip limpeza'!$A$1:$U$64</definedName>
    <definedName name="_xlnm.Print_Area" localSheetId="4">Limpeza!$A$1:$I$39</definedName>
  </definedNames>
  <calcPr calcId="124519" iterateDelta="1E-4"/>
</workbook>
</file>

<file path=xl/calcChain.xml><?xml version="1.0" encoding="utf-8"?>
<calcChain xmlns="http://schemas.openxmlformats.org/spreadsheetml/2006/main">
  <c r="I100" i="41"/>
  <c r="I99"/>
  <c r="I96" s="1"/>
  <c r="I98"/>
  <c r="H96"/>
  <c r="H96" i="40"/>
  <c r="J100" i="39"/>
  <c r="J99"/>
  <c r="J98"/>
  <c r="I100"/>
  <c r="I99"/>
  <c r="I98"/>
  <c r="H96"/>
  <c r="J101" i="23"/>
  <c r="J100"/>
  <c r="J99"/>
  <c r="J98"/>
  <c r="J101" i="37"/>
  <c r="J100"/>
  <c r="J99"/>
  <c r="J98"/>
  <c r="I96"/>
  <c r="H96"/>
  <c r="I100" i="23"/>
  <c r="J96" i="39" l="1"/>
  <c r="I96"/>
  <c r="J96" i="37"/>
  <c r="F3" i="50"/>
  <c r="F9" s="1"/>
  <c r="E3"/>
  <c r="E11"/>
  <c r="H66" i="39"/>
  <c r="F11" i="50" l="1"/>
  <c r="D37" i="43"/>
  <c r="M2" i="50" l="1"/>
  <c r="E5"/>
  <c r="H32" i="23" l="1"/>
  <c r="E18" i="50"/>
  <c r="E7"/>
  <c r="E6"/>
  <c r="J11"/>
  <c r="J10"/>
  <c r="J9"/>
  <c r="J8"/>
  <c r="J7"/>
  <c r="J6"/>
  <c r="J5"/>
  <c r="E9"/>
  <c r="D9"/>
  <c r="D13" l="1"/>
  <c r="D15"/>
  <c r="J2"/>
  <c r="D11"/>
  <c r="H30" i="42" l="1"/>
  <c r="H30" i="41"/>
  <c r="H30" i="40"/>
  <c r="H32" i="39"/>
  <c r="H32" i="37"/>
  <c r="F4" i="2"/>
  <c r="F5"/>
  <c r="F6"/>
  <c r="F7"/>
  <c r="F8"/>
  <c r="F9"/>
  <c r="F10"/>
  <c r="F11"/>
  <c r="F12"/>
  <c r="F13"/>
  <c r="F14"/>
  <c r="F17"/>
  <c r="F18"/>
  <c r="F19"/>
  <c r="F20"/>
  <c r="F21"/>
  <c r="F22"/>
  <c r="F23"/>
  <c r="F27"/>
  <c r="F28"/>
  <c r="F29"/>
  <c r="F30"/>
  <c r="F31"/>
  <c r="F32"/>
  <c r="F33"/>
  <c r="F34"/>
  <c r="F35"/>
  <c r="F36"/>
  <c r="H5" i="46"/>
  <c r="H6"/>
  <c r="H7"/>
  <c r="H4"/>
  <c r="J5" i="4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4"/>
  <c r="L4" s="1"/>
  <c r="I17" i="19" l="1"/>
  <c r="I7"/>
  <c r="H17" i="48" l="1"/>
  <c r="H16"/>
  <c r="H15"/>
  <c r="H14"/>
  <c r="H13"/>
  <c r="H12"/>
  <c r="H11"/>
  <c r="H10"/>
  <c r="H9"/>
  <c r="H8"/>
  <c r="H7"/>
  <c r="H6"/>
  <c r="H5"/>
  <c r="H4"/>
  <c r="J56" i="49" l="1"/>
  <c r="J55"/>
  <c r="J54"/>
  <c r="J53"/>
  <c r="J52"/>
  <c r="J51" l="1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5"/>
  <c r="J4"/>
  <c r="I76" i="20" l="1"/>
  <c r="I79" l="1"/>
  <c r="D14"/>
  <c r="D13"/>
  <c r="I24" i="19"/>
  <c r="I22"/>
  <c r="I21"/>
  <c r="I15"/>
  <c r="I12"/>
  <c r="I14"/>
  <c r="I11"/>
  <c r="I8"/>
  <c r="I5"/>
  <c r="I4"/>
  <c r="I6"/>
  <c r="I23" l="1"/>
  <c r="I9"/>
  <c r="I10" s="1"/>
  <c r="I25"/>
  <c r="I16"/>
  <c r="I13"/>
  <c r="L9" i="49"/>
  <c r="J16" i="48"/>
  <c r="J15"/>
  <c r="J11"/>
  <c r="J8"/>
  <c r="J7"/>
  <c r="J5"/>
  <c r="J9"/>
  <c r="L56" i="49"/>
  <c r="L55"/>
  <c r="L52"/>
  <c r="L45"/>
  <c r="L44"/>
  <c r="L35"/>
  <c r="L34"/>
  <c r="L32"/>
  <c r="L30"/>
  <c r="L29"/>
  <c r="L28"/>
  <c r="L26"/>
  <c r="L24"/>
  <c r="L23"/>
  <c r="L22"/>
  <c r="L19"/>
  <c r="L18"/>
  <c r="L16"/>
  <c r="L14"/>
  <c r="L13"/>
  <c r="L12"/>
  <c r="L11"/>
  <c r="L10"/>
  <c r="L8"/>
  <c r="L7"/>
  <c r="M27"/>
  <c r="N27" s="1"/>
  <c r="M25"/>
  <c r="N25" s="1"/>
  <c r="M10"/>
  <c r="N10" s="1"/>
  <c r="M16"/>
  <c r="N16" s="1"/>
  <c r="M11"/>
  <c r="N11" s="1"/>
  <c r="M52"/>
  <c r="N52" s="1"/>
  <c r="M56"/>
  <c r="N56" s="1"/>
  <c r="M55"/>
  <c r="N55" s="1"/>
  <c r="M45"/>
  <c r="N45" s="1"/>
  <c r="M44"/>
  <c r="N44" s="1"/>
  <c r="M35"/>
  <c r="N35" s="1"/>
  <c r="M34"/>
  <c r="N34" s="1"/>
  <c r="M32"/>
  <c r="N32" s="1"/>
  <c r="M30"/>
  <c r="N30" s="1"/>
  <c r="M29"/>
  <c r="N29" s="1"/>
  <c r="M28"/>
  <c r="N28" s="1"/>
  <c r="M26"/>
  <c r="N26" s="1"/>
  <c r="M24"/>
  <c r="N24" s="1"/>
  <c r="M23"/>
  <c r="N23" s="1"/>
  <c r="M53"/>
  <c r="N53" s="1"/>
  <c r="M54"/>
  <c r="N54" s="1"/>
  <c r="M51"/>
  <c r="N51" s="1"/>
  <c r="M5"/>
  <c r="N5" s="1"/>
  <c r="M6"/>
  <c r="N6" s="1"/>
  <c r="M7"/>
  <c r="N7" s="1"/>
  <c r="M8"/>
  <c r="N8" s="1"/>
  <c r="N9"/>
  <c r="M12"/>
  <c r="N12" s="1"/>
  <c r="M13"/>
  <c r="N13" s="1"/>
  <c r="M14"/>
  <c r="N14" s="1"/>
  <c r="M15"/>
  <c r="N15" s="1"/>
  <c r="M17"/>
  <c r="N17" s="1"/>
  <c r="M18"/>
  <c r="N18" s="1"/>
  <c r="N19"/>
  <c r="M20"/>
  <c r="N20" s="1"/>
  <c r="M21"/>
  <c r="N21" s="1"/>
  <c r="M22"/>
  <c r="N22" s="1"/>
  <c r="M31"/>
  <c r="N31" s="1"/>
  <c r="M33"/>
  <c r="M36"/>
  <c r="N36" s="1"/>
  <c r="M37"/>
  <c r="N37" s="1"/>
  <c r="M38"/>
  <c r="N38" s="1"/>
  <c r="M39"/>
  <c r="N39" s="1"/>
  <c r="M40"/>
  <c r="N40" s="1"/>
  <c r="M41"/>
  <c r="N41" s="1"/>
  <c r="M42"/>
  <c r="N42" s="1"/>
  <c r="M43"/>
  <c r="N43" s="1"/>
  <c r="M46"/>
  <c r="N46" s="1"/>
  <c r="M47"/>
  <c r="N47" s="1"/>
  <c r="M48"/>
  <c r="N48" s="1"/>
  <c r="M4"/>
  <c r="N4" s="1"/>
  <c r="L53"/>
  <c r="L54"/>
  <c r="L51"/>
  <c r="L5"/>
  <c r="L6"/>
  <c r="L15"/>
  <c r="L17"/>
  <c r="L20"/>
  <c r="L21"/>
  <c r="L25"/>
  <c r="L27"/>
  <c r="L31"/>
  <c r="L33"/>
  <c r="L36"/>
  <c r="L37"/>
  <c r="L38"/>
  <c r="L39"/>
  <c r="L40"/>
  <c r="L41"/>
  <c r="L42"/>
  <c r="L43"/>
  <c r="L46"/>
  <c r="L47"/>
  <c r="L48"/>
  <c r="L4"/>
  <c r="J17" i="48"/>
  <c r="I18" i="19" l="1"/>
  <c r="I19" s="1"/>
  <c r="I20" s="1"/>
  <c r="I26"/>
  <c r="I27" s="1"/>
  <c r="L57" i="49"/>
  <c r="L49"/>
  <c r="J4" i="48"/>
  <c r="J12"/>
  <c r="J14"/>
  <c r="J10"/>
  <c r="J13"/>
  <c r="N57" i="49"/>
  <c r="N49"/>
  <c r="J6" i="48"/>
  <c r="I86" i="39" l="1"/>
  <c r="J86"/>
  <c r="I85" i="42"/>
  <c r="I85" i="41"/>
  <c r="I85" i="40"/>
  <c r="J86" i="37"/>
  <c r="I86"/>
  <c r="J86" i="23"/>
  <c r="I86"/>
  <c r="J18" i="48"/>
  <c r="J19" s="1"/>
  <c r="J20" s="1"/>
  <c r="N58" i="49"/>
  <c r="N59" s="1"/>
  <c r="N60" s="1"/>
  <c r="L58"/>
  <c r="L59" l="1"/>
  <c r="L60" s="1"/>
  <c r="I86" i="40"/>
  <c r="I86" i="41"/>
  <c r="I86" i="42"/>
  <c r="J6" i="46"/>
  <c r="J7"/>
  <c r="L28" i="45"/>
  <c r="J87" i="23" l="1"/>
  <c r="I87" i="39"/>
  <c r="J87"/>
  <c r="I87" i="23"/>
  <c r="I87" i="37"/>
  <c r="J87"/>
  <c r="J5" i="46"/>
  <c r="J4"/>
  <c r="J8" l="1"/>
  <c r="J9" s="1"/>
  <c r="J10" s="1"/>
  <c r="L27" i="45"/>
  <c r="L26"/>
  <c r="L31"/>
  <c r="L30"/>
  <c r="L29"/>
  <c r="L23"/>
  <c r="I11" i="41"/>
  <c r="I11" i="42"/>
  <c r="D123" i="37"/>
  <c r="D23" i="2" s="1"/>
  <c r="D122" i="37"/>
  <c r="D22" i="2" s="1"/>
  <c r="D120" i="37"/>
  <c r="D20" i="2" s="1"/>
  <c r="D119" i="37"/>
  <c r="D19" i="2" s="1"/>
  <c r="D118" i="37"/>
  <c r="D18" i="2" s="1"/>
  <c r="F123" i="37"/>
  <c r="F122"/>
  <c r="F121"/>
  <c r="F120"/>
  <c r="F119"/>
  <c r="F118"/>
  <c r="F117"/>
  <c r="H81"/>
  <c r="H70"/>
  <c r="H67"/>
  <c r="H66"/>
  <c r="H50"/>
  <c r="H46"/>
  <c r="H31"/>
  <c r="J25"/>
  <c r="J23"/>
  <c r="J49" s="1"/>
  <c r="I23"/>
  <c r="I49" s="1"/>
  <c r="H48" i="42"/>
  <c r="I48" s="1"/>
  <c r="H48" i="41"/>
  <c r="I48" s="1"/>
  <c r="H48" i="40"/>
  <c r="I48" s="1"/>
  <c r="H50" i="39"/>
  <c r="J50" s="1"/>
  <c r="I75" i="20"/>
  <c r="I87" i="40" l="1"/>
  <c r="I87" i="42"/>
  <c r="I87" i="41"/>
  <c r="L7" i="45"/>
  <c r="L11"/>
  <c r="L15"/>
  <c r="L21"/>
  <c r="L19"/>
  <c r="L5"/>
  <c r="L13"/>
  <c r="L24"/>
  <c r="L9"/>
  <c r="L17"/>
  <c r="L6"/>
  <c r="L10"/>
  <c r="L14"/>
  <c r="L18"/>
  <c r="L22"/>
  <c r="L25"/>
  <c r="L8"/>
  <c r="L12"/>
  <c r="L16"/>
  <c r="L20"/>
  <c r="J50" i="37"/>
  <c r="J55" s="1"/>
  <c r="J61" s="1"/>
  <c r="H33"/>
  <c r="H34" s="1"/>
  <c r="H35" s="1"/>
  <c r="J27"/>
  <c r="J75" s="1"/>
  <c r="H69"/>
  <c r="H71" s="1"/>
  <c r="H82"/>
  <c r="H83" s="1"/>
  <c r="I24"/>
  <c r="I27" s="1"/>
  <c r="I50"/>
  <c r="I55" s="1"/>
  <c r="I61" s="1"/>
  <c r="H60"/>
  <c r="I50" i="39"/>
  <c r="D122" i="23"/>
  <c r="D9" i="2" s="1"/>
  <c r="D121" i="23"/>
  <c r="D8" i="2" s="1"/>
  <c r="F121" i="23"/>
  <c r="F91" i="20"/>
  <c r="F92"/>
  <c r="J106" i="37" l="1"/>
  <c r="J78"/>
  <c r="J40"/>
  <c r="J42"/>
  <c r="J80"/>
  <c r="J38"/>
  <c r="J41"/>
  <c r="J44"/>
  <c r="J68"/>
  <c r="J69" s="1"/>
  <c r="H59"/>
  <c r="H62" s="1"/>
  <c r="J43"/>
  <c r="J70"/>
  <c r="J31"/>
  <c r="J67"/>
  <c r="J77"/>
  <c r="J74"/>
  <c r="J45"/>
  <c r="J39"/>
  <c r="J79"/>
  <c r="J32"/>
  <c r="J76"/>
  <c r="J65"/>
  <c r="J66" s="1"/>
  <c r="I79"/>
  <c r="I77"/>
  <c r="I75"/>
  <c r="I78"/>
  <c r="I68"/>
  <c r="I69" s="1"/>
  <c r="I44"/>
  <c r="I42"/>
  <c r="I40"/>
  <c r="I76"/>
  <c r="I70"/>
  <c r="I74"/>
  <c r="I106"/>
  <c r="I67"/>
  <c r="I45"/>
  <c r="I43"/>
  <c r="I41"/>
  <c r="I39"/>
  <c r="I38"/>
  <c r="I80"/>
  <c r="I65"/>
  <c r="I31"/>
  <c r="I32"/>
  <c r="F53" i="20"/>
  <c r="F54"/>
  <c r="F55"/>
  <c r="F56"/>
  <c r="F57"/>
  <c r="F58"/>
  <c r="F59"/>
  <c r="H67" i="42"/>
  <c r="H69" s="1"/>
  <c r="H69" i="40"/>
  <c r="H69" i="41"/>
  <c r="H66" i="42"/>
  <c r="H67" i="39"/>
  <c r="H70"/>
  <c r="H66" i="41"/>
  <c r="H66" i="40"/>
  <c r="H67" i="23"/>
  <c r="H70"/>
  <c r="H80" i="42"/>
  <c r="H80" i="41"/>
  <c r="H80" i="40"/>
  <c r="H81" i="39"/>
  <c r="H31" i="23"/>
  <c r="H96" i="42"/>
  <c r="H65"/>
  <c r="I53"/>
  <c r="H44"/>
  <c r="H31"/>
  <c r="I22"/>
  <c r="H65" i="41"/>
  <c r="H44"/>
  <c r="H68" s="1"/>
  <c r="H31"/>
  <c r="I22"/>
  <c r="I47" s="1"/>
  <c r="H65" i="40"/>
  <c r="H44"/>
  <c r="H31"/>
  <c r="H58" s="1"/>
  <c r="I22"/>
  <c r="I47" s="1"/>
  <c r="D126" i="39"/>
  <c r="D36" i="2" s="1"/>
  <c r="D125" i="39"/>
  <c r="D35" i="2" s="1"/>
  <c r="D124" i="39"/>
  <c r="D34" i="2" s="1"/>
  <c r="D123" i="39"/>
  <c r="D33" i="2" s="1"/>
  <c r="D120" i="39"/>
  <c r="D30" i="2" s="1"/>
  <c r="D121" i="39"/>
  <c r="D31" i="2" s="1"/>
  <c r="D119" i="39"/>
  <c r="D29" i="2" s="1"/>
  <c r="D118" i="39"/>
  <c r="D28" i="2" s="1"/>
  <c r="F118" i="39"/>
  <c r="F126"/>
  <c r="F125"/>
  <c r="F124"/>
  <c r="F123"/>
  <c r="F122"/>
  <c r="F120"/>
  <c r="F121"/>
  <c r="F119"/>
  <c r="F117"/>
  <c r="I55"/>
  <c r="H46"/>
  <c r="H33"/>
  <c r="H59" s="1"/>
  <c r="J25"/>
  <c r="J23"/>
  <c r="I23"/>
  <c r="J33" i="37" l="1"/>
  <c r="J34" s="1"/>
  <c r="J35" s="1"/>
  <c r="J59" s="1"/>
  <c r="H60" i="39"/>
  <c r="H62" s="1"/>
  <c r="J81" i="37"/>
  <c r="J82" s="1"/>
  <c r="J83" s="1"/>
  <c r="J109" s="1"/>
  <c r="J46"/>
  <c r="J60" s="1"/>
  <c r="J71"/>
  <c r="J108" s="1"/>
  <c r="I46"/>
  <c r="I60" s="1"/>
  <c r="I81"/>
  <c r="I66"/>
  <c r="I71" s="1"/>
  <c r="I108" s="1"/>
  <c r="I33"/>
  <c r="H70" i="41"/>
  <c r="H68" i="42"/>
  <c r="H70" s="1"/>
  <c r="I23"/>
  <c r="I25" s="1"/>
  <c r="I23" i="41"/>
  <c r="I25" s="1"/>
  <c r="I53"/>
  <c r="I60" s="1"/>
  <c r="H32" i="40"/>
  <c r="H33" s="1"/>
  <c r="H32" i="41"/>
  <c r="H33" s="1"/>
  <c r="I60" i="42"/>
  <c r="H32"/>
  <c r="H33" s="1"/>
  <c r="H81"/>
  <c r="H82" s="1"/>
  <c r="H58"/>
  <c r="H59"/>
  <c r="H81" i="41"/>
  <c r="H82" s="1"/>
  <c r="H58"/>
  <c r="H59"/>
  <c r="H59" i="40"/>
  <c r="H61" s="1"/>
  <c r="H81"/>
  <c r="H82" s="1"/>
  <c r="I23"/>
  <c r="I25" s="1"/>
  <c r="I38" s="1"/>
  <c r="I53"/>
  <c r="I60" s="1"/>
  <c r="H68"/>
  <c r="H70" s="1"/>
  <c r="H34" i="39"/>
  <c r="H35" s="1"/>
  <c r="I61"/>
  <c r="H82"/>
  <c r="H83" s="1"/>
  <c r="I24"/>
  <c r="I27" s="1"/>
  <c r="H69"/>
  <c r="J27"/>
  <c r="J62" i="37" l="1"/>
  <c r="J107" s="1"/>
  <c r="I34"/>
  <c r="I35" s="1"/>
  <c r="I59" s="1"/>
  <c r="I62" s="1"/>
  <c r="I107" s="1"/>
  <c r="I82"/>
  <c r="I83" s="1"/>
  <c r="I109" s="1"/>
  <c r="J55" i="39"/>
  <c r="J61" s="1"/>
  <c r="I78" i="42"/>
  <c r="I73"/>
  <c r="I29"/>
  <c r="I39"/>
  <c r="I30"/>
  <c r="I40"/>
  <c r="I74"/>
  <c r="I41"/>
  <c r="I76"/>
  <c r="I75"/>
  <c r="I43"/>
  <c r="I106"/>
  <c r="I37"/>
  <c r="I69"/>
  <c r="I42"/>
  <c r="I38"/>
  <c r="I67"/>
  <c r="I68" s="1"/>
  <c r="I79"/>
  <c r="I36"/>
  <c r="I66"/>
  <c r="I77"/>
  <c r="I64"/>
  <c r="I65" s="1"/>
  <c r="I78" i="41"/>
  <c r="I64"/>
  <c r="I65" s="1"/>
  <c r="I30"/>
  <c r="I29"/>
  <c r="I75"/>
  <c r="I39"/>
  <c r="I66"/>
  <c r="I40"/>
  <c r="I76"/>
  <c r="I42"/>
  <c r="I74"/>
  <c r="I67"/>
  <c r="I68" s="1"/>
  <c r="I41"/>
  <c r="I36"/>
  <c r="I79"/>
  <c r="I73"/>
  <c r="I43"/>
  <c r="I77"/>
  <c r="I106"/>
  <c r="I37"/>
  <c r="I69"/>
  <c r="I38"/>
  <c r="H61" i="42"/>
  <c r="H61" i="41"/>
  <c r="I42" i="40"/>
  <c r="I75"/>
  <c r="I43"/>
  <c r="I39"/>
  <c r="I37"/>
  <c r="I79"/>
  <c r="I77"/>
  <c r="I73"/>
  <c r="I67"/>
  <c r="I68" s="1"/>
  <c r="I64"/>
  <c r="I41"/>
  <c r="I106"/>
  <c r="I78"/>
  <c r="I76"/>
  <c r="I74"/>
  <c r="I69"/>
  <c r="I66"/>
  <c r="I29"/>
  <c r="I40"/>
  <c r="I36"/>
  <c r="I30"/>
  <c r="I44" i="39"/>
  <c r="I42"/>
  <c r="I40"/>
  <c r="I38"/>
  <c r="I78"/>
  <c r="I74"/>
  <c r="I68"/>
  <c r="I69" s="1"/>
  <c r="I65"/>
  <c r="I45"/>
  <c r="I43"/>
  <c r="I41"/>
  <c r="I39"/>
  <c r="I106"/>
  <c r="I79"/>
  <c r="I77"/>
  <c r="I75"/>
  <c r="I67"/>
  <c r="I31"/>
  <c r="I80"/>
  <c r="I76"/>
  <c r="I32"/>
  <c r="J106"/>
  <c r="J79"/>
  <c r="J77"/>
  <c r="J75"/>
  <c r="J67"/>
  <c r="J31"/>
  <c r="J78"/>
  <c r="J74"/>
  <c r="J32"/>
  <c r="J76"/>
  <c r="J80"/>
  <c r="J68"/>
  <c r="J69" s="1"/>
  <c r="J65"/>
  <c r="J45"/>
  <c r="J43"/>
  <c r="J41"/>
  <c r="J39"/>
  <c r="J44"/>
  <c r="J42"/>
  <c r="J40"/>
  <c r="J38"/>
  <c r="J25" i="23"/>
  <c r="H96"/>
  <c r="I70" i="42" l="1"/>
  <c r="I108" s="1"/>
  <c r="I31" i="41"/>
  <c r="I32" s="1"/>
  <c r="I33" s="1"/>
  <c r="I58" s="1"/>
  <c r="I80" i="42"/>
  <c r="I81" s="1"/>
  <c r="I82" s="1"/>
  <c r="I109" s="1"/>
  <c r="I44" i="41"/>
  <c r="I59" s="1"/>
  <c r="I80"/>
  <c r="I81" s="1"/>
  <c r="I82" s="1"/>
  <c r="I109" s="1"/>
  <c r="I44" i="42"/>
  <c r="I59" s="1"/>
  <c r="I31"/>
  <c r="I32" s="1"/>
  <c r="I33" s="1"/>
  <c r="I58" s="1"/>
  <c r="I70" i="41"/>
  <c r="I108" s="1"/>
  <c r="I65" i="40"/>
  <c r="I70" s="1"/>
  <c r="I108" s="1"/>
  <c r="I80"/>
  <c r="I44"/>
  <c r="I59" s="1"/>
  <c r="I31"/>
  <c r="J33" i="39"/>
  <c r="J34" s="1"/>
  <c r="J35" s="1"/>
  <c r="J59" s="1"/>
  <c r="I81"/>
  <c r="I82" s="1"/>
  <c r="I83" s="1"/>
  <c r="I109" s="1"/>
  <c r="J81"/>
  <c r="I33"/>
  <c r="J66"/>
  <c r="I66"/>
  <c r="J46"/>
  <c r="I46"/>
  <c r="I60" s="1"/>
  <c r="H66" i="23"/>
  <c r="I23"/>
  <c r="I49" s="1"/>
  <c r="F119"/>
  <c r="J23"/>
  <c r="J49" s="1"/>
  <c r="I61" i="42" l="1"/>
  <c r="I107" s="1"/>
  <c r="J60" i="39"/>
  <c r="J62" s="1"/>
  <c r="J107" s="1"/>
  <c r="I61" i="41"/>
  <c r="I107" s="1"/>
  <c r="I32" i="40"/>
  <c r="I33" s="1"/>
  <c r="I58" s="1"/>
  <c r="I61" s="1"/>
  <c r="I107" s="1"/>
  <c r="I81"/>
  <c r="I82" s="1"/>
  <c r="I109" s="1"/>
  <c r="I34" i="39"/>
  <c r="I35" s="1"/>
  <c r="I59" s="1"/>
  <c r="I62" s="1"/>
  <c r="I107" s="1"/>
  <c r="J82"/>
  <c r="J83" s="1"/>
  <c r="J109" s="1"/>
  <c r="I24" i="23"/>
  <c r="I27" s="1"/>
  <c r="J27"/>
  <c r="I31" l="1"/>
  <c r="I32"/>
  <c r="F98" i="20" l="1"/>
  <c r="F94"/>
  <c r="F95"/>
  <c r="F97"/>
  <c r="F66" l="1"/>
  <c r="G66" s="1"/>
  <c r="F65"/>
  <c r="G65" s="1"/>
  <c r="F62"/>
  <c r="G62" s="1"/>
  <c r="F64"/>
  <c r="G64" s="1"/>
  <c r="F42" l="1"/>
  <c r="F41"/>
  <c r="F49"/>
  <c r="D2" l="1"/>
  <c r="D3"/>
  <c r="D119" i="23" s="1"/>
  <c r="D6" i="2" s="1"/>
  <c r="I89" i="41" l="1"/>
  <c r="I110" s="1"/>
  <c r="I111" s="1"/>
  <c r="I89" i="40"/>
  <c r="I110" s="1"/>
  <c r="I111" s="1"/>
  <c r="I89" i="42"/>
  <c r="I110" s="1"/>
  <c r="I111" s="1"/>
  <c r="I94" i="40" l="1"/>
  <c r="I94" i="41"/>
  <c r="I94" i="42"/>
  <c r="I95" l="1"/>
  <c r="I113" s="1"/>
  <c r="I95" i="41"/>
  <c r="I113" s="1"/>
  <c r="I95" i="40"/>
  <c r="I113" s="1"/>
  <c r="I100" i="42" l="1"/>
  <c r="I98"/>
  <c r="I99"/>
  <c r="E7" i="3"/>
  <c r="I101" i="42"/>
  <c r="E5" i="3"/>
  <c r="I101" i="41"/>
  <c r="I98" i="40"/>
  <c r="I96" s="1"/>
  <c r="I99"/>
  <c r="I100"/>
  <c r="E4" i="3"/>
  <c r="I101" i="40"/>
  <c r="I102" l="1"/>
  <c r="I112" s="1"/>
  <c r="I96" i="42" l="1"/>
  <c r="I102" s="1"/>
  <c r="I112" s="1"/>
  <c r="I102" i="41"/>
  <c r="I112" s="1"/>
  <c r="D127" i="23" l="1"/>
  <c r="D14" i="2" s="1"/>
  <c r="D126" i="23"/>
  <c r="D13" i="2" s="1"/>
  <c r="D125" i="23"/>
  <c r="D12" i="2" s="1"/>
  <c r="D124" i="23"/>
  <c r="D11" i="2" s="1"/>
  <c r="D120" i="23" l="1"/>
  <c r="D7" i="2" s="1"/>
  <c r="H3" i="35"/>
  <c r="R3" s="1"/>
  <c r="H5"/>
  <c r="M6" s="1"/>
  <c r="R7"/>
  <c r="J8"/>
  <c r="M8"/>
  <c r="R9"/>
  <c r="J10"/>
  <c r="M10"/>
  <c r="T11"/>
  <c r="T12" s="1"/>
  <c r="T13" s="1"/>
  <c r="J3" i="32"/>
  <c r="J5"/>
  <c r="J9"/>
  <c r="J11"/>
  <c r="J13"/>
  <c r="J15"/>
  <c r="J17"/>
  <c r="J19"/>
  <c r="J21"/>
  <c r="J23"/>
  <c r="J25"/>
  <c r="S25" s="1"/>
  <c r="J27"/>
  <c r="J29"/>
  <c r="J31"/>
  <c r="J33"/>
  <c r="J35"/>
  <c r="J37"/>
  <c r="J39"/>
  <c r="J41"/>
  <c r="J45"/>
  <c r="S45" s="1"/>
  <c r="J47"/>
  <c r="J53"/>
  <c r="J55"/>
  <c r="U21" l="1"/>
  <c r="U43"/>
  <c r="U13"/>
  <c r="U41"/>
  <c r="U11"/>
  <c r="U55"/>
  <c r="U37"/>
  <c r="U23"/>
  <c r="U7"/>
  <c r="J6" i="35"/>
  <c r="U47" i="32"/>
  <c r="U19"/>
  <c r="U31"/>
  <c r="U17"/>
  <c r="U5"/>
  <c r="U53"/>
  <c r="U33"/>
  <c r="J4" i="35"/>
  <c r="U45" i="32"/>
  <c r="U29"/>
  <c r="U15"/>
  <c r="N4"/>
  <c r="U35"/>
  <c r="U27"/>
  <c r="U39"/>
  <c r="U25"/>
  <c r="U9"/>
  <c r="R5" i="35"/>
  <c r="R11" s="1"/>
  <c r="R12" s="1"/>
  <c r="R13" s="1"/>
  <c r="S5" i="32"/>
  <c r="S13"/>
  <c r="S37"/>
  <c r="U3"/>
  <c r="S21"/>
  <c r="S9"/>
  <c r="S3"/>
  <c r="S41"/>
  <c r="S29"/>
  <c r="S53"/>
  <c r="S33"/>
  <c r="S17"/>
  <c r="M4" i="35"/>
  <c r="S55" i="32"/>
  <c r="S47"/>
  <c r="S43"/>
  <c r="S39"/>
  <c r="S35"/>
  <c r="S31"/>
  <c r="S27"/>
  <c r="S23"/>
  <c r="S19"/>
  <c r="S15"/>
  <c r="S11"/>
  <c r="S7"/>
  <c r="U58" l="1"/>
  <c r="U59" s="1"/>
  <c r="U60" s="1"/>
  <c r="S58"/>
  <c r="S59" s="1"/>
  <c r="S60" s="1"/>
  <c r="H33" i="23" l="1"/>
  <c r="H81" s="1"/>
  <c r="H46"/>
  <c r="H50"/>
  <c r="F117"/>
  <c r="F118"/>
  <c r="F120"/>
  <c r="F122"/>
  <c r="F123"/>
  <c r="F124"/>
  <c r="F125"/>
  <c r="F126"/>
  <c r="F127"/>
  <c r="J50" l="1"/>
  <c r="I50"/>
  <c r="J78"/>
  <c r="J70"/>
  <c r="J44"/>
  <c r="J39"/>
  <c r="J45"/>
  <c r="J38"/>
  <c r="J76"/>
  <c r="J80"/>
  <c r="J67"/>
  <c r="J41"/>
  <c r="J77"/>
  <c r="J74"/>
  <c r="J65"/>
  <c r="J43"/>
  <c r="J40"/>
  <c r="J75"/>
  <c r="J79"/>
  <c r="J68"/>
  <c r="J42"/>
  <c r="J106"/>
  <c r="J32"/>
  <c r="J31"/>
  <c r="I65"/>
  <c r="I66" s="1"/>
  <c r="H59"/>
  <c r="H34"/>
  <c r="H35" s="1"/>
  <c r="H69"/>
  <c r="H71" s="1"/>
  <c r="H60"/>
  <c r="H82"/>
  <c r="H83" s="1"/>
  <c r="I55" l="1"/>
  <c r="I61" s="1"/>
  <c r="J55"/>
  <c r="J61" s="1"/>
  <c r="J33"/>
  <c r="J34" s="1"/>
  <c r="J35" s="1"/>
  <c r="J81"/>
  <c r="I77"/>
  <c r="I76"/>
  <c r="I42"/>
  <c r="I38"/>
  <c r="I41"/>
  <c r="I44"/>
  <c r="I39"/>
  <c r="I43"/>
  <c r="I68"/>
  <c r="I69" s="1"/>
  <c r="I70"/>
  <c r="I80"/>
  <c r="H62"/>
  <c r="I40"/>
  <c r="I78"/>
  <c r="I79"/>
  <c r="I74"/>
  <c r="I75"/>
  <c r="I67"/>
  <c r="I45"/>
  <c r="I106"/>
  <c r="I33" l="1"/>
  <c r="I34" s="1"/>
  <c r="I35" s="1"/>
  <c r="I81"/>
  <c r="I82" s="1"/>
  <c r="J46"/>
  <c r="J66"/>
  <c r="J69"/>
  <c r="I71"/>
  <c r="I108" s="1"/>
  <c r="I46"/>
  <c r="J60" l="1"/>
  <c r="I83"/>
  <c r="I109" s="1"/>
  <c r="I59"/>
  <c r="J82"/>
  <c r="J71"/>
  <c r="J108" s="1"/>
  <c r="J59"/>
  <c r="I60"/>
  <c r="J62" l="1"/>
  <c r="J107" s="1"/>
  <c r="J83"/>
  <c r="J109" s="1"/>
  <c r="I62"/>
  <c r="I107" s="1"/>
  <c r="F96" i="20" l="1"/>
  <c r="F87"/>
  <c r="F86"/>
  <c r="F85"/>
  <c r="F84"/>
  <c r="F82"/>
  <c r="F81"/>
  <c r="F79"/>
  <c r="F74"/>
  <c r="G74" s="1"/>
  <c r="F73"/>
  <c r="F72"/>
  <c r="F71"/>
  <c r="G71" s="1"/>
  <c r="F70"/>
  <c r="F69"/>
  <c r="F68"/>
  <c r="F67"/>
  <c r="F63"/>
  <c r="G63" s="1"/>
  <c r="F61"/>
  <c r="G61" s="1"/>
  <c r="F60"/>
  <c r="G60" s="1"/>
  <c r="F52"/>
  <c r="F51"/>
  <c r="F50"/>
  <c r="F48"/>
  <c r="F47"/>
  <c r="F45"/>
  <c r="F44"/>
  <c r="F43"/>
  <c r="F40"/>
  <c r="F38"/>
  <c r="F37"/>
  <c r="F36"/>
  <c r="F35"/>
  <c r="F34"/>
  <c r="D33"/>
  <c r="D121" i="37" s="1"/>
  <c r="D21" i="2" s="1"/>
  <c r="F32" i="20"/>
  <c r="F30"/>
  <c r="F31"/>
  <c r="F29"/>
  <c r="D28"/>
  <c r="D117" i="37" s="1"/>
  <c r="D17" i="2" s="1"/>
  <c r="F27" i="20"/>
  <c r="F26"/>
  <c r="F25"/>
  <c r="D24"/>
  <c r="D122" i="39" s="1"/>
  <c r="D32" i="2" s="1"/>
  <c r="F23" i="20"/>
  <c r="F22"/>
  <c r="D21"/>
  <c r="F20"/>
  <c r="F19"/>
  <c r="F18"/>
  <c r="F17"/>
  <c r="D16"/>
  <c r="D118" i="23" s="1"/>
  <c r="D5" i="2" s="1"/>
  <c r="D15" i="20"/>
  <c r="D117" i="23" s="1"/>
  <c r="D4" i="2" s="1"/>
  <c r="F14" i="20"/>
  <c r="F13"/>
  <c r="F12"/>
  <c r="F11"/>
  <c r="D10"/>
  <c r="F9"/>
  <c r="F8"/>
  <c r="F7"/>
  <c r="F5"/>
  <c r="F6"/>
  <c r="F4"/>
  <c r="F3"/>
  <c r="L78" i="18"/>
  <c r="I78"/>
  <c r="F77"/>
  <c r="G77" s="1"/>
  <c r="F76"/>
  <c r="G76" s="1"/>
  <c r="F75"/>
  <c r="G75" s="1"/>
  <c r="F74"/>
  <c r="G74" s="1"/>
  <c r="F73"/>
  <c r="F72"/>
  <c r="F71"/>
  <c r="G71" s="1"/>
  <c r="F70"/>
  <c r="G70" s="1"/>
  <c r="D69"/>
  <c r="F69" s="1"/>
  <c r="G69" s="1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D49"/>
  <c r="F49" s="1"/>
  <c r="F48"/>
  <c r="F47"/>
  <c r="F46"/>
  <c r="F45"/>
  <c r="F44"/>
  <c r="F43"/>
  <c r="F42"/>
  <c r="F41"/>
  <c r="F40"/>
  <c r="F39"/>
  <c r="F38"/>
  <c r="D37"/>
  <c r="F37" s="1"/>
  <c r="F36"/>
  <c r="F35"/>
  <c r="F34"/>
  <c r="G34" s="1"/>
  <c r="F33"/>
  <c r="G33" s="1"/>
  <c r="F32"/>
  <c r="F31"/>
  <c r="F30"/>
  <c r="F29"/>
  <c r="F28"/>
  <c r="F27"/>
  <c r="F26"/>
  <c r="F25"/>
  <c r="D24"/>
  <c r="F24" s="1"/>
  <c r="F23"/>
  <c r="F22"/>
  <c r="F21"/>
  <c r="F20"/>
  <c r="F19"/>
  <c r="D18"/>
  <c r="F18" s="1"/>
  <c r="G18" s="1"/>
  <c r="F17"/>
  <c r="F15"/>
  <c r="F14"/>
  <c r="O13"/>
  <c r="O23" s="1"/>
  <c r="F13"/>
  <c r="O12"/>
  <c r="F12"/>
  <c r="F11"/>
  <c r="F10"/>
  <c r="F9"/>
  <c r="F8"/>
  <c r="F7"/>
  <c r="F6"/>
  <c r="F5"/>
  <c r="F4"/>
  <c r="F3"/>
  <c r="D2"/>
  <c r="H24" i="17"/>
  <c r="H23"/>
  <c r="H22"/>
  <c r="H21"/>
  <c r="H17"/>
  <c r="H16"/>
  <c r="H15"/>
  <c r="H14"/>
  <c r="H13"/>
  <c r="H12"/>
  <c r="H11"/>
  <c r="H10"/>
  <c r="H7"/>
  <c r="H6"/>
  <c r="H5"/>
  <c r="H4"/>
  <c r="H3"/>
  <c r="D24" i="2" l="1"/>
  <c r="G49" i="18"/>
  <c r="D124" i="37"/>
  <c r="D75" i="20"/>
  <c r="G72" i="18"/>
  <c r="H69" s="1"/>
  <c r="F21" i="20"/>
  <c r="G21" s="1"/>
  <c r="D117" i="39"/>
  <c r="D27" i="2" s="1"/>
  <c r="D37" s="1"/>
  <c r="G60" i="18"/>
  <c r="G14"/>
  <c r="G22"/>
  <c r="G37"/>
  <c r="G51"/>
  <c r="F2"/>
  <c r="G2" s="1"/>
  <c r="D16"/>
  <c r="F16" s="1"/>
  <c r="G16" s="1"/>
  <c r="G24"/>
  <c r="G47"/>
  <c r="F90" i="20"/>
  <c r="G19" i="18"/>
  <c r="F24" i="20"/>
  <c r="G24" s="1"/>
  <c r="F93"/>
  <c r="G58" i="18"/>
  <c r="H8" i="17"/>
  <c r="H9" s="1"/>
  <c r="G7" i="18"/>
  <c r="G41"/>
  <c r="G62"/>
  <c r="H74"/>
  <c r="H25" i="17"/>
  <c r="H26" s="1"/>
  <c r="H18"/>
  <c r="H19" s="1"/>
  <c r="G67" i="18"/>
  <c r="F28" i="20"/>
  <c r="G28" s="1"/>
  <c r="F2"/>
  <c r="G2" s="1"/>
  <c r="F83"/>
  <c r="D123" i="23"/>
  <c r="D10" i="2" s="1"/>
  <c r="D15" s="1"/>
  <c r="F33" i="20"/>
  <c r="G32" s="1"/>
  <c r="F10"/>
  <c r="G7" s="1"/>
  <c r="F39"/>
  <c r="G39" s="1"/>
  <c r="G26"/>
  <c r="G13"/>
  <c r="G17"/>
  <c r="G19"/>
  <c r="G50"/>
  <c r="G58"/>
  <c r="G67"/>
  <c r="H60" s="1"/>
  <c r="G72"/>
  <c r="H72" s="1"/>
  <c r="G52"/>
  <c r="G69"/>
  <c r="H69" s="1"/>
  <c r="F15"/>
  <c r="G15" s="1"/>
  <c r="F16"/>
  <c r="G16" s="1"/>
  <c r="F88"/>
  <c r="O24" i="18"/>
  <c r="G31"/>
  <c r="H76"/>
  <c r="G37" i="20"/>
  <c r="G28" i="18"/>
  <c r="G35"/>
  <c r="H33" s="1"/>
  <c r="F80" i="20"/>
  <c r="G55"/>
  <c r="F46"/>
  <c r="G43" s="1"/>
  <c r="H2" i="18" l="1"/>
  <c r="F99" i="20"/>
  <c r="I83" s="1"/>
  <c r="F89"/>
  <c r="H16" i="18"/>
  <c r="D127" i="39"/>
  <c r="H20" i="17"/>
  <c r="H37" i="18"/>
  <c r="D128" i="23"/>
  <c r="H49" i="18"/>
  <c r="D78"/>
  <c r="H60"/>
  <c r="H24"/>
  <c r="H39" i="20"/>
  <c r="H2"/>
  <c r="H21"/>
  <c r="H15"/>
  <c r="H52"/>
  <c r="H28"/>
  <c r="F100" l="1"/>
  <c r="I82" s="1"/>
  <c r="H78" i="18"/>
  <c r="H75" i="20"/>
  <c r="F5" i="3" l="1"/>
  <c r="G5" l="1"/>
  <c r="F7"/>
  <c r="G7" l="1"/>
  <c r="E9" i="1"/>
  <c r="F9" s="1"/>
  <c r="F4" i="3" l="1"/>
  <c r="G4" l="1"/>
  <c r="G6" s="1"/>
  <c r="G8" s="1"/>
  <c r="F6"/>
  <c r="E8" i="1" s="1"/>
  <c r="F8" s="1"/>
  <c r="F8" i="3" l="1"/>
  <c r="F10" i="1"/>
  <c r="F11" s="1"/>
  <c r="E10" l="1"/>
  <c r="J70" i="39" l="1"/>
  <c r="H71"/>
  <c r="I70"/>
  <c r="I71" s="1"/>
  <c r="I108" s="1"/>
  <c r="J71" l="1"/>
  <c r="J108" s="1"/>
  <c r="L32" i="45" l="1"/>
  <c r="L33" s="1"/>
  <c r="L34" s="1"/>
  <c r="J88" i="23" l="1"/>
  <c r="J90" s="1"/>
  <c r="J110" s="1"/>
  <c r="J111" s="1"/>
  <c r="J94" s="1"/>
  <c r="J88" i="39"/>
  <c r="J90" s="1"/>
  <c r="J110" s="1"/>
  <c r="J111" s="1"/>
  <c r="J94" s="1"/>
  <c r="J95" s="1"/>
  <c r="J113" s="1"/>
  <c r="J101" s="1"/>
  <c r="I88" i="23"/>
  <c r="I90" s="1"/>
  <c r="I110" s="1"/>
  <c r="I111" s="1"/>
  <c r="J88" i="37"/>
  <c r="J90" s="1"/>
  <c r="J110" s="1"/>
  <c r="J111" s="1"/>
  <c r="J94" s="1"/>
  <c r="J95" s="1"/>
  <c r="I88"/>
  <c r="I90" s="1"/>
  <c r="I110" s="1"/>
  <c r="I111" s="1"/>
  <c r="I94" s="1"/>
  <c r="I95" s="1"/>
  <c r="I113" s="1"/>
  <c r="I101" s="1"/>
  <c r="I88" i="39"/>
  <c r="I90" s="1"/>
  <c r="I110" s="1"/>
  <c r="I111" s="1"/>
  <c r="I94" s="1"/>
  <c r="I95" s="1"/>
  <c r="I113" s="1"/>
  <c r="E5" i="1" l="1"/>
  <c r="I101" i="39"/>
  <c r="G19" i="2"/>
  <c r="H19" s="1"/>
  <c r="I19" s="1"/>
  <c r="G20"/>
  <c r="H20" s="1"/>
  <c r="I20" s="1"/>
  <c r="G21"/>
  <c r="H21" s="1"/>
  <c r="I21" s="1"/>
  <c r="G17"/>
  <c r="H17" s="1"/>
  <c r="I17" s="1"/>
  <c r="G22"/>
  <c r="H22" s="1"/>
  <c r="I22" s="1"/>
  <c r="G23"/>
  <c r="H23" s="1"/>
  <c r="I23" s="1"/>
  <c r="G28"/>
  <c r="H28" s="1"/>
  <c r="I28" s="1"/>
  <c r="G34"/>
  <c r="H34" s="1"/>
  <c r="I34" s="1"/>
  <c r="G30"/>
  <c r="H30" s="1"/>
  <c r="I30" s="1"/>
  <c r="G35"/>
  <c r="H35" s="1"/>
  <c r="I35" s="1"/>
  <c r="G31"/>
  <c r="H31" s="1"/>
  <c r="I31" s="1"/>
  <c r="G36"/>
  <c r="H36" s="1"/>
  <c r="I36" s="1"/>
  <c r="G27"/>
  <c r="H27" s="1"/>
  <c r="I27" s="1"/>
  <c r="G32"/>
  <c r="H32" s="1"/>
  <c r="I32" s="1"/>
  <c r="G33"/>
  <c r="H33" s="1"/>
  <c r="I33" s="1"/>
  <c r="G29"/>
  <c r="H29" s="1"/>
  <c r="I29" s="1"/>
  <c r="G119" i="39"/>
  <c r="G121" i="37"/>
  <c r="G120"/>
  <c r="G123"/>
  <c r="G119"/>
  <c r="G122"/>
  <c r="G117"/>
  <c r="G126" i="39"/>
  <c r="G122"/>
  <c r="G118"/>
  <c r="G125"/>
  <c r="G121"/>
  <c r="G117"/>
  <c r="G124"/>
  <c r="G120"/>
  <c r="G123"/>
  <c r="I94" i="23"/>
  <c r="I95" s="1"/>
  <c r="I113" s="1"/>
  <c r="J95"/>
  <c r="J113" s="1"/>
  <c r="G6" i="2" s="1"/>
  <c r="H6" s="1"/>
  <c r="I6" s="1"/>
  <c r="I98" i="37"/>
  <c r="I100"/>
  <c r="I99"/>
  <c r="J113"/>
  <c r="G18" i="2" l="1"/>
  <c r="H18" s="1"/>
  <c r="I18" s="1"/>
  <c r="I24" s="1"/>
  <c r="I37"/>
  <c r="G11"/>
  <c r="H11" s="1"/>
  <c r="I11" s="1"/>
  <c r="G4"/>
  <c r="H4" s="1"/>
  <c r="I4" s="1"/>
  <c r="G5"/>
  <c r="H5" s="1"/>
  <c r="I5" s="1"/>
  <c r="G10"/>
  <c r="H10" s="1"/>
  <c r="I10" s="1"/>
  <c r="G8"/>
  <c r="H8" s="1"/>
  <c r="I8" s="1"/>
  <c r="G9"/>
  <c r="H9" s="1"/>
  <c r="I9" s="1"/>
  <c r="G14"/>
  <c r="H14" s="1"/>
  <c r="I14" s="1"/>
  <c r="G7"/>
  <c r="H7" s="1"/>
  <c r="I7" s="1"/>
  <c r="G12"/>
  <c r="H12" s="1"/>
  <c r="I12" s="1"/>
  <c r="G13"/>
  <c r="H13" s="1"/>
  <c r="I13" s="1"/>
  <c r="G118" i="37"/>
  <c r="G119" i="23"/>
  <c r="G124"/>
  <c r="G120"/>
  <c r="G127"/>
  <c r="G123"/>
  <c r="G126"/>
  <c r="G122"/>
  <c r="G118"/>
  <c r="G125"/>
  <c r="G121"/>
  <c r="G117"/>
  <c r="J102" i="39"/>
  <c r="J112" s="1"/>
  <c r="I102" i="37"/>
  <c r="I112" s="1"/>
  <c r="I101" i="23"/>
  <c r="I99"/>
  <c r="I98"/>
  <c r="I102" i="39"/>
  <c r="I112" s="1"/>
  <c r="I15" i="2" l="1"/>
  <c r="I25" s="1"/>
  <c r="I38" s="1"/>
  <c r="I39" s="1"/>
  <c r="H118" i="37"/>
  <c r="I118" s="1"/>
  <c r="I128" s="1"/>
  <c r="J128" s="1"/>
  <c r="H121"/>
  <c r="I121" s="1"/>
  <c r="J121" s="1"/>
  <c r="H122"/>
  <c r="I122" s="1"/>
  <c r="J122" s="1"/>
  <c r="H123"/>
  <c r="I123" s="1"/>
  <c r="J123" s="1"/>
  <c r="H119"/>
  <c r="I119" s="1"/>
  <c r="J119" s="1"/>
  <c r="H120"/>
  <c r="I120" s="1"/>
  <c r="J120" s="1"/>
  <c r="H117"/>
  <c r="I117" s="1"/>
  <c r="J117" s="1"/>
  <c r="H119" i="39"/>
  <c r="I119" s="1"/>
  <c r="J119" s="1"/>
  <c r="H126"/>
  <c r="I126" s="1"/>
  <c r="J126" s="1"/>
  <c r="H124" i="23"/>
  <c r="I124" s="1"/>
  <c r="J124" s="1"/>
  <c r="H120"/>
  <c r="I120" s="1"/>
  <c r="J120" s="1"/>
  <c r="H121"/>
  <c r="I121" s="1"/>
  <c r="J121" s="1"/>
  <c r="H125"/>
  <c r="I125" s="1"/>
  <c r="J125" s="1"/>
  <c r="H126"/>
  <c r="I126" s="1"/>
  <c r="J126" s="1"/>
  <c r="H117"/>
  <c r="I117" s="1"/>
  <c r="J117" s="1"/>
  <c r="H122"/>
  <c r="I122" s="1"/>
  <c r="J122" s="1"/>
  <c r="H123"/>
  <c r="I123" s="1"/>
  <c r="J123" s="1"/>
  <c r="H127"/>
  <c r="I127" s="1"/>
  <c r="J127" s="1"/>
  <c r="H118"/>
  <c r="I118" s="1"/>
  <c r="J118" s="1"/>
  <c r="H119"/>
  <c r="I119" s="1"/>
  <c r="J102" i="37"/>
  <c r="J112" s="1"/>
  <c r="J118" l="1"/>
  <c r="J125" s="1"/>
  <c r="H118" i="39"/>
  <c r="I118" s="1"/>
  <c r="J118" s="1"/>
  <c r="H122"/>
  <c r="I122" s="1"/>
  <c r="J122" s="1"/>
  <c r="I131"/>
  <c r="J131" s="1"/>
  <c r="H123"/>
  <c r="I123" s="1"/>
  <c r="J123" s="1"/>
  <c r="I125" i="37"/>
  <c r="I127" s="1"/>
  <c r="J127" s="1"/>
  <c r="H125" i="39"/>
  <c r="I125" s="1"/>
  <c r="J125" s="1"/>
  <c r="H124"/>
  <c r="I124" s="1"/>
  <c r="J124" s="1"/>
  <c r="H117"/>
  <c r="I117" s="1"/>
  <c r="J117" s="1"/>
  <c r="H121"/>
  <c r="I121" s="1"/>
  <c r="J121" s="1"/>
  <c r="H120"/>
  <c r="I120" s="1"/>
  <c r="J120" s="1"/>
  <c r="F5" i="1"/>
  <c r="J119" i="23"/>
  <c r="I132"/>
  <c r="J132" s="1"/>
  <c r="I129"/>
  <c r="I131" s="1"/>
  <c r="J131" s="1"/>
  <c r="J128" i="39" l="1"/>
  <c r="I128"/>
  <c r="I130" s="1"/>
  <c r="J130" s="1"/>
  <c r="E4" i="1"/>
  <c r="F4" s="1"/>
  <c r="J129" i="23"/>
  <c r="E3" i="1"/>
  <c r="F3" s="1"/>
  <c r="F6" l="1"/>
  <c r="F7" s="1"/>
  <c r="E6"/>
  <c r="F12" l="1"/>
  <c r="C33" i="43" s="1"/>
  <c r="F13" i="1" l="1"/>
  <c r="I96" i="23"/>
  <c r="I102" s="1"/>
  <c r="I112" s="1"/>
  <c r="J96"/>
  <c r="J102" s="1"/>
  <c r="J112" s="1"/>
</calcChain>
</file>

<file path=xl/comments1.xml><?xml version="1.0" encoding="utf-8"?>
<comments xmlns="http://schemas.openxmlformats.org/spreadsheetml/2006/main">
  <authors>
    <author>ADAIR JOSE DA SILVA</author>
  </authors>
  <commentList>
    <comment ref="M16" authorId="0">
      <text>
        <r>
          <rPr>
            <b/>
            <sz val="9"/>
            <color indexed="81"/>
            <rFont val="Tahoma"/>
            <family val="2"/>
          </rPr>
          <t>1.18 NO MP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33" authorId="0">
      <text>
        <r>
          <rPr>
            <b/>
            <sz val="9"/>
            <color indexed="81"/>
            <rFont val="Tahoma"/>
            <family val="2"/>
          </rPr>
          <t>718 no MP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<sst xmlns="http://schemas.openxmlformats.org/spreadsheetml/2006/main" count="2862" uniqueCount="676">
  <si>
    <t>ITEM</t>
  </si>
  <si>
    <t>DESCRIÇÃO</t>
  </si>
  <si>
    <t>DETALHAMENTO</t>
  </si>
  <si>
    <t>1.1</t>
  </si>
  <si>
    <t>SERVIÇOS DE LIMPEZA DAS AREAS</t>
  </si>
  <si>
    <t>COM VALE TRANSPORTE</t>
  </si>
  <si>
    <t>SEM VALE TRANSPORTE</t>
  </si>
  <si>
    <t>SUBTOTAL  (R$)</t>
  </si>
  <si>
    <t>2.1</t>
  </si>
  <si>
    <t>SERVIÇOS DE LAVAGEM DE VEÍCULOS</t>
  </si>
  <si>
    <t>SERVIÇOS DE LIMPEZA</t>
  </si>
  <si>
    <t>VALE TRANSPORTE</t>
  </si>
  <si>
    <t>Tipo de Área</t>
  </si>
  <si>
    <t>Área Existente M²</t>
  </si>
  <si>
    <t>Produtividade</t>
  </si>
  <si>
    <t>Produtividade(1/M²)*</t>
  </si>
  <si>
    <t>R$ PREÇO UNITÁRIO DO HOMEM MÊS</t>
  </si>
  <si>
    <t>SUBTOTAL  ESTIMADO (R$/M²)</t>
  </si>
  <si>
    <t>SIM</t>
  </si>
  <si>
    <t>AI</t>
  </si>
  <si>
    <t>1. Piso Frio</t>
  </si>
  <si>
    <t>4. Almoxarifado</t>
  </si>
  <si>
    <t>AE</t>
  </si>
  <si>
    <t>1. Piso Pavimentado e patios e áreas verdes de alta e média freq</t>
  </si>
  <si>
    <t>2. Pátios e áreas verdes de baixa frequencia</t>
  </si>
  <si>
    <t>3. Varrição de passeios e arruamentos</t>
  </si>
  <si>
    <t>4. Coleta de detritos em pátios e áreas verdes com FREQUENCIA DIÁRIA</t>
  </si>
  <si>
    <t>E</t>
  </si>
  <si>
    <t>NÃO</t>
  </si>
  <si>
    <t>4. Espaços livres</t>
  </si>
  <si>
    <t>Legenda:</t>
  </si>
  <si>
    <t>AI - Area interna</t>
  </si>
  <si>
    <t>AE - Area externa</t>
  </si>
  <si>
    <t>EI - Esquadria interna</t>
  </si>
  <si>
    <t>EE - Esquadria externa</t>
  </si>
  <si>
    <t>POSTO</t>
  </si>
  <si>
    <t>LAVADOR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</si>
  <si>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</si>
  <si>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</si>
  <si>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</si>
  <si>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</si>
  <si>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</si>
  <si>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</si>
  <si>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Sentença Normativa em Dissídio Coletivo</t>
  </si>
  <si>
    <t>D</t>
  </si>
  <si>
    <t>Número de meses de execução contratual</t>
  </si>
  <si>
    <t>Identificação do Serviço</t>
  </si>
  <si>
    <t>Tipo de serviço</t>
  </si>
  <si>
    <t>Unidade
 de 
Medida</t>
  </si>
  <si>
    <t>Quantidade total a contratar (em função da unidade de medida) - convertida</t>
  </si>
  <si>
    <t>Limpeza e Conservação Predial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</si>
  <si>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</si>
  <si>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</si>
  <si>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</si>
  <si>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</si>
  <si>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</si>
  <si>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Salário mínimo vigente</t>
  </si>
  <si>
    <t>MÓDULO 1: COMPOSIÇÃO DA REMUNERAÇÃO</t>
  </si>
  <si>
    <t>Composição da Remuneração</t>
  </si>
  <si>
    <t>%</t>
  </si>
  <si>
    <t>Valor (R$)</t>
  </si>
  <si>
    <t>H</t>
  </si>
  <si>
    <t>Outros (especificar)</t>
  </si>
  <si>
    <t>Total da Remuneração</t>
  </si>
  <si>
    <t>Benefícios Mensais e Diários</t>
  </si>
  <si>
    <t>Assistência médica e familiar</t>
  </si>
  <si>
    <t>Auxílio-creche</t>
  </si>
  <si>
    <t>F</t>
  </si>
  <si>
    <t>Total de Benefícios Mensais e Diários</t>
  </si>
  <si>
    <t>Nota: o valor informado deverá ser o custo real do insumo (descontado o valor eventualmente pago pelo empregado).</t>
  </si>
  <si>
    <t>Insumos Diversos</t>
  </si>
  <si>
    <t>Uniformes</t>
  </si>
  <si>
    <t>Materiais</t>
  </si>
  <si>
    <t>Equipamentos e Ferramentas (Depreciação)</t>
  </si>
  <si>
    <t>Outros</t>
  </si>
  <si>
    <t>Total de Insumos Diversos</t>
  </si>
  <si>
    <t>Nota: Valores mensais por empregado</t>
  </si>
  <si>
    <t>4.1</t>
  </si>
  <si>
    <t>INSS</t>
  </si>
  <si>
    <t>INCRA</t>
  </si>
  <si>
    <t>Salário educação</t>
  </si>
  <si>
    <t>FGTS</t>
  </si>
  <si>
    <t>G</t>
  </si>
  <si>
    <t>SEBRAE</t>
  </si>
  <si>
    <t>TOTAL</t>
  </si>
  <si>
    <t>Subtotal</t>
  </si>
  <si>
    <t>Provisão para Rescisão</t>
  </si>
  <si>
    <t>Incidência do FGTS sobre o aviso-prévio indenizado</t>
  </si>
  <si>
    <t>Custos Indiretos, Lucro e Tributos</t>
  </si>
  <si>
    <t>-</t>
  </si>
  <si>
    <t>Custos Indiretos</t>
  </si>
  <si>
    <t>Lucro</t>
  </si>
  <si>
    <t>Tributos</t>
  </si>
  <si>
    <t>Mão de obra vinculada à execução contratual (valor por empregado)</t>
  </si>
  <si>
    <t>Módulo 1 - Composição da Remuneração</t>
  </si>
  <si>
    <t>Valor total por empregado</t>
  </si>
  <si>
    <t>Detalhamento</t>
  </si>
  <si>
    <t>1. Piso Pavimentado e patios e áreas verdes de alta  e média freq</t>
  </si>
  <si>
    <t>Total</t>
  </si>
  <si>
    <t>ESPECIFICAÇÃO</t>
  </si>
  <si>
    <t>UNIDADE DE MEDIDA</t>
  </si>
  <si>
    <t>DPF/JPN</t>
  </si>
  <si>
    <t>DPF/VLA</t>
  </si>
  <si>
    <t>CONFRON</t>
  </si>
  <si>
    <t>TOTAL ANUAL</t>
  </si>
  <si>
    <t>Aspirador para pós e líquidos, profissional, sem a necessidade de mudar de filtro ou desligar o equipamento, reservatório com capacidade para 20 lts</t>
  </si>
  <si>
    <t>UNIDADE</t>
  </si>
  <si>
    <t>Bomba pulverizadora</t>
  </si>
  <si>
    <t>Carrinho de carregar material de limpeza, em polipropileno, com rodinhas, suporte com saco de lixo com capacidade para 90 L, aproximadamente, duas bandejas, lugar para colocar balde com espremedor. O carrinho deverá conter os seguintes acessórios: 01 balde espremedor de 30 litros, aproximadamente, com divisão para água limpa e água suja; 01 conjunto Mop líquido (01 cabo em alumínio, 01 haste, 01 refil mop líquido 320g, aproximadamente); 01 pá coletora pop; 01 conjunto Mop Pó (01 cabo em alumínio, 01 armação, 01 refil Mop pó de aproximadamente 60 cm); 01 placa de sinalização para piso molhado. Qualidade igual ou similar a kit funcional América</t>
  </si>
  <si>
    <t>Carrinho de mão com caçamba em polipropileno, estrutura tubular bipartida em aço SAE 1020, Capacidade da caçamba: 90L, Pneu com câmara</t>
  </si>
  <si>
    <t>CARRO PARA LEVAR GARRAFÕES DE ÁGUA</t>
  </si>
  <si>
    <t>CESTO fechado de 30 litros para escritório</t>
  </si>
  <si>
    <t>CESTO LIXO Gari, com tampa, de 120 lts, roda de 200 mm X 240 A</t>
  </si>
  <si>
    <t>CISCADOR leque cabo longo</t>
  </si>
  <si>
    <t>DISPENSER para álcool gel</t>
  </si>
  <si>
    <t>DISPENSER PARA PAPEL HIGIÊNICO EM ROLO, capacidade para no mínimo rolos de 250 metros</t>
  </si>
  <si>
    <t>DISPENSER para saboneteira, resistente, produzido em material plástico ABS, com sistema autocolante, visor frontal, facilitando o abastecimento do produto, válvula de supervisor, proporcionando correta dosagem e impedindo vazamento, para acondicionamento dos refis</t>
  </si>
  <si>
    <t>DISPENSER para toalha de papel interfolhada, capacidade de no mínimo 1 maço de 250 folhas</t>
  </si>
  <si>
    <t>ENCERADEIRA industrial acompanhado de  todos os acessórios</t>
  </si>
  <si>
    <t>ESCADA de aço/alumínio 12 degraus – Tipo cavalete</t>
  </si>
  <si>
    <t>ESCADA de aço/alumínio 7 degraus – Tipo cavalete</t>
  </si>
  <si>
    <t>ESCADA DOBRÁVEL, material: ferro e aço galvanizado pintado, com cinco degraus, e sapatas antiderrapantes</t>
  </si>
  <si>
    <t>EXTENSÃO ELÉTRICA 50m com tomadas de entrada e saída – 3/2,5mm</t>
  </si>
  <si>
    <t>Lavadora profissional de alta pressão (Vazão: 7 lt/min; Pressão: 1600 libras; Potência do Motor:2000W)</t>
  </si>
  <si>
    <t>LIXEIRA CILINDRICA, plástica, para banheiro, mínimo de 15 lts</t>
  </si>
  <si>
    <t>LIXEIRA, plástica, de 100 lts, com tampa, para área externa</t>
  </si>
  <si>
    <t>MANGUEIRA nylon trançado 3/4”, 100 metros</t>
  </si>
  <si>
    <t>PLACA DE SINALIZAÇÃO c/ aviso de piso molhado, banheiro fora de uso, não entre, chão úmido e outras indicações necessárias</t>
  </si>
  <si>
    <t>TESOURA DE PODA (grande)</t>
  </si>
  <si>
    <t>SR/RO</t>
  </si>
  <si>
    <t>DPF/GMI</t>
  </si>
  <si>
    <t>Aspirador de pó e água profissional, de baixo ruído</t>
  </si>
  <si>
    <t>Compressor com moto-bomba</t>
  </si>
  <si>
    <t>Mangueira de ar de 1/4  com 50 metros</t>
  </si>
  <si>
    <t>Mangueira de água  de 3/4 com 100 metros</t>
  </si>
  <si>
    <t>CONSUMO ESTIMADO DE UNIFORME TOTAL AO ANO</t>
  </si>
  <si>
    <t>POSTO</t>
  </si>
  <si>
    <t>UNIFORME</t>
  </si>
  <si>
    <t>QUANT.</t>
  </si>
  <si>
    <t>VALOR  UNITÁRIO (R$)</t>
  </si>
  <si>
    <t>VALOR      TOTAL ANUAL      (R$)</t>
  </si>
  <si>
    <t>SERVENTE AREA INTERNA</t>
  </si>
  <si>
    <t>CAMISA: 100% algodão, manga curta, Polybrim Light, tergal Verão ou Cedroleve</t>
  </si>
  <si>
    <t>Unidade</t>
  </si>
  <si>
    <t>CALÇA: tecido jeans ou brim leve</t>
  </si>
  <si>
    <t>CALÇADO:tipo tênis, sapato baixo (tipo extremo conforto) ou botina, solado antiderrapante</t>
  </si>
  <si>
    <t>Par</t>
  </si>
  <si>
    <t>BOTA DE BORRACHA</t>
  </si>
  <si>
    <t>MEIA</t>
  </si>
  <si>
    <t>Custo ANUAL por funcionário</t>
  </si>
  <si>
    <t>(A) Custo MENSAL por funcionário AI</t>
  </si>
  <si>
    <t>SERVENTE AREA EXTERNA</t>
  </si>
  <si>
    <t>CAMISA:  manga curta em tecido 100% algodão, Polybrim Light, tergal Verão ou Cedroleve</t>
  </si>
  <si>
    <t>CAMISA: manga longa em tecido 100% algodão, Polybrim Light, tergal Verão ou Cedroleve</t>
  </si>
  <si>
    <t>CALÇA: tipo pijama em brim leve</t>
  </si>
  <si>
    <t>CALÇADO: tipo tênis, sapato baixo (tipo extremo conforto) ou botina, solado antiderrapante</t>
  </si>
  <si>
    <t>CAPA DE CHUVA</t>
  </si>
  <si>
    <r>
      <t xml:space="preserve">CHAPÉU: </t>
    </r>
    <r>
      <rPr>
        <sz val="11"/>
        <color rgb="FF000000"/>
        <rFont val="Courier New"/>
        <family val="3"/>
      </rPr>
      <t>tipo mexicano</t>
    </r>
  </si>
  <si>
    <t>(B) Custo MENSAL por funcionário AE</t>
  </si>
  <si>
    <t>Custo Mensal por funcionário                                                          Cálculo = (A + B / 2)</t>
  </si>
  <si>
    <t>LAVADOR DE VEÍCULOS</t>
  </si>
  <si>
    <t>Camisa de manga curta em tecido malha PV (malha fria) de 33% poliéster e 67% de viscose ou tecido dry fit 100% polyester</t>
  </si>
  <si>
    <t>CALÇA de elástico, tecido tactel 100% poliamida, características: tecido leve e de toque macio</t>
  </si>
  <si>
    <t>CALÇADO: tipo bota ou botina impermeável fechado, solado antiderrapante</t>
  </si>
  <si>
    <t>Valor ANUAL estimado por funcionário</t>
  </si>
  <si>
    <t>R$  MENSAL estimado por funcionário</t>
  </si>
  <si>
    <t>Produtividade em m²</t>
  </si>
  <si>
    <t>Funcionários Estimados</t>
  </si>
  <si>
    <t>Funcionáiros por Tipo de Área</t>
  </si>
  <si>
    <t>Funcionários</t>
  </si>
  <si>
    <t>Quantidade de postos</t>
  </si>
  <si>
    <t>Vale Transporte</t>
  </si>
  <si>
    <t>Tipo de Área</t>
  </si>
  <si>
    <t>Total Área Existente M²</t>
  </si>
  <si>
    <t>SR/RO</t>
  </si>
  <si>
    <t>1.1 Piso Frio</t>
  </si>
  <si>
    <t>1.2 Banheiros</t>
  </si>
  <si>
    <t>1.3 Laboratório</t>
  </si>
  <si>
    <t>1.4 Almoxarifado/galpão</t>
  </si>
  <si>
    <t>1.5 Espaços livres (TELECENTRO, AUDITORIO, etc.)</t>
  </si>
  <si>
    <t>2.1 Piso Pavimentado</t>
  </si>
  <si>
    <t>2.2 Varrição de passeios e arruamentos (estacionamentos, inclusive garagens cobertas, etc)</t>
  </si>
  <si>
    <t>2.3 Pátios e áreas verdes – ALTA frequência</t>
  </si>
  <si>
    <t>2.4 Pátios e áreas verdes – MÉDIA frequência (QUINZENAL)</t>
  </si>
  <si>
    <t>EI E EE</t>
  </si>
  <si>
    <t>2.5 Pátios e áreas verdes – BAIXA frequência</t>
  </si>
  <si>
    <t>2.6 Campo de futebol (gramado)</t>
  </si>
  <si>
    <t>SUBTOTAL</t>
  </si>
  <si>
    <t>2.7 Coleta de detritos em pátios e áreas verdes com FREQUENCIA DIÁRIA</t>
  </si>
  <si>
    <t>EI</t>
  </si>
  <si>
    <t>3.1 Esquadrias internas</t>
  </si>
  <si>
    <t>EE</t>
  </si>
  <si>
    <t>GISE/PVH</t>
  </si>
  <si>
    <t>1.2 Almoxarifado/galpão</t>
  </si>
  <si>
    <t>1.3 Banheiros</t>
  </si>
  <si>
    <t>2.3 Pátios e áreas verdes – BAIXA frequência</t>
  </si>
  <si>
    <t>3.1 Esquadria internas</t>
  </si>
  <si>
    <t>3.2 Esquadrias Externas</t>
  </si>
  <si>
    <t>DPF/GMI</t>
  </si>
  <si>
    <t>Total COM e SEM VT</t>
  </si>
  <si>
    <t>1.2 Banheiro</t>
  </si>
  <si>
    <t>1.3 Almoxarifado/galpão</t>
  </si>
  <si>
    <t>1.4 Espaços livres (TELECENTRO, AUDITORIO, etc.)</t>
  </si>
  <si>
    <t>2.3 Pátios e áreas verdes – ALTA frequência (SEMANAL)</t>
  </si>
  <si>
    <t>CRISTAL</t>
  </si>
  <si>
    <t>2.1 Pátios e áreas verdes - QUINZENAL</t>
  </si>
  <si>
    <t>DPF/VLA</t>
  </si>
  <si>
    <t>2.7 Coleta de detrito em pátios e áreas verdes com FREQUÊNCIA DIÁRIA</t>
  </si>
  <si>
    <t>ROOSEVELT</t>
  </si>
  <si>
    <t>=</t>
  </si>
  <si>
    <t>2.1 Varrição de passeios e arruamentos (estacionamentos, inclusive garagens cobertas, etc)</t>
  </si>
  <si>
    <t>DIAMANTE</t>
  </si>
  <si>
    <t>BRADESCO</t>
  </si>
  <si>
    <t>2.1 Pátios e áreas verdes – ALTA frequência (SEMANAL)</t>
  </si>
  <si>
    <t>Total MENSAL DOS SERVIÇOS PVH (R$)</t>
  </si>
  <si>
    <t>Porto Velho</t>
  </si>
  <si>
    <t>R$ Unitário Mensal (m²)</t>
  </si>
  <si>
    <t>Ji-Paraná</t>
  </si>
  <si>
    <t>Quadro-resumo do Custo por Empregado</t>
  </si>
  <si>
    <t>COMBATE</t>
  </si>
  <si>
    <t>2. Banheiros COM insalubridade</t>
  </si>
  <si>
    <t>2.2 Pátios e áreas verdes – ALTA frequência (SEMANAL)</t>
  </si>
  <si>
    <t>2.3 Pátios e áreas verdes – MÉDIA frequência (QUINZENAL)</t>
  </si>
  <si>
    <t>2.4 Pátios e áreas verdes – BAIXA frequência</t>
  </si>
  <si>
    <t>2.5 Campo de futebol (gramado)</t>
  </si>
  <si>
    <t>1. Esquadrias Internas e Externas</t>
  </si>
  <si>
    <t>Total MENSAL DOS SERVIÇOS JPN (R$)</t>
  </si>
  <si>
    <t xml:space="preserve">DESCRIÇÃO E QUANTIDADE ESTIMADA DE EQUIPAMENTOS DE LIMPEZA </t>
  </si>
  <si>
    <r>
      <t>V</t>
    </r>
    <r>
      <rPr>
        <b/>
        <sz val="9"/>
        <rFont val="Times New Roman"/>
        <family val="1"/>
      </rPr>
      <t>ALORES ESTIMADOS</t>
    </r>
    <r>
      <rPr>
        <b/>
        <sz val="9"/>
        <color rgb="FFFF0000"/>
        <rFont val="Times New Roman"/>
        <family val="1"/>
      </rPr>
      <t xml:space="preserve"> INICIALMENTE</t>
    </r>
  </si>
  <si>
    <t>PREÇO MÉDIO UNITÁRIO</t>
  </si>
  <si>
    <t>SUBMARINO.COM</t>
  </si>
  <si>
    <t>WALMART.COM</t>
  </si>
  <si>
    <t>FG.COM</t>
  </si>
  <si>
    <t xml:space="preserve">COMBATE </t>
  </si>
  <si>
    <t>AMERICANAS.COM</t>
  </si>
  <si>
    <t>GWRSHOP.COM</t>
  </si>
  <si>
    <t>GADOTTICAR.COM</t>
  </si>
  <si>
    <t>LOJADOPROFISSIONAL.COM</t>
  </si>
  <si>
    <t>E-COZINHAS.COM</t>
  </si>
  <si>
    <t>AGROTAMA.COM</t>
  </si>
  <si>
    <t>LOJADOMECANICO.COM</t>
  </si>
  <si>
    <t>CARRINHOSNET.COM</t>
  </si>
  <si>
    <t>CARRINHOSINDUSTRIAIS.NET</t>
  </si>
  <si>
    <t>SILVALAR.COM</t>
  </si>
  <si>
    <t>MULTIECON.COM</t>
  </si>
  <si>
    <t>MAGAZINELUIZA.COM</t>
  </si>
  <si>
    <t>BR.MELINTEREST.COM</t>
  </si>
  <si>
    <t>BENZOLIMP.COM</t>
  </si>
  <si>
    <t>DUTRAMAQUINAS.COM</t>
  </si>
  <si>
    <t>DISPENSADOR P/ COPO 2 TUBOS de 180 ml cada</t>
  </si>
  <si>
    <t>CONTRISUL.COM</t>
  </si>
  <si>
    <t>SHOPFACIL.COM</t>
  </si>
  <si>
    <t>TTMAQUINAS.COM</t>
  </si>
  <si>
    <t>SHOPTIME.COM</t>
  </si>
  <si>
    <t>CEC.COM</t>
  </si>
  <si>
    <t>RRMAQUINAS.COM</t>
  </si>
  <si>
    <t>KALUNGA.COM</t>
  </si>
  <si>
    <t>TDAFERRAMENTAS.COM</t>
  </si>
  <si>
    <t>CASAAMERICA.COM</t>
  </si>
  <si>
    <t>ROÇADEIRA e seus insumos (lamina, FIO DE NYLON, gasolina, lima chata, óleo 2 tempos, etc)</t>
  </si>
  <si>
    <t>ESTRELA10.COM</t>
  </si>
  <si>
    <r>
      <rPr>
        <b/>
        <sz val="11"/>
        <color rgb="FFFF0000"/>
        <rFont val="Times New Roman"/>
        <family val="1"/>
      </rPr>
      <t>(A)</t>
    </r>
    <r>
      <rPr>
        <b/>
        <sz val="11"/>
        <rFont val="Times New Roman"/>
        <family val="1"/>
      </rPr>
      <t xml:space="preserve"> Valor TOTAL Anual dos Equipamentos (R$)</t>
    </r>
  </si>
  <si>
    <t>EQUIPAMENTOS/UTENSÍLIOS POR LAVADOR AO ANO</t>
  </si>
  <si>
    <r>
      <t xml:space="preserve">VALORES ESTIMADOS (R$) </t>
    </r>
    <r>
      <rPr>
        <b/>
        <sz val="11"/>
        <color rgb="FFFF0000"/>
        <rFont val="Times New Roman"/>
        <family val="1"/>
      </rPr>
      <t>INICIALMENTE</t>
    </r>
  </si>
  <si>
    <t>CCPPARAFUSOS.COM</t>
  </si>
  <si>
    <t>MAXIFERRAMENTA.COM</t>
  </si>
  <si>
    <r>
      <t>(A)</t>
    </r>
    <r>
      <rPr>
        <sz val="11"/>
        <rFont val="Times New Roman"/>
        <family val="1"/>
      </rPr>
      <t xml:space="preserve"> Valor Total</t>
    </r>
    <r>
      <rPr>
        <sz val="11"/>
        <color rgb="FF000000"/>
        <rFont val="Times New Roman"/>
        <family val="1"/>
      </rPr>
      <t xml:space="preserve"> Anual dos equipamentos (R$) </t>
    </r>
  </si>
  <si>
    <t>SOBRE AS PLANILHAS:</t>
  </si>
  <si>
    <t>DA COMBATE</t>
  </si>
  <si>
    <t>Módulo 6 - Custos Indiretos, Lucro e Tributos</t>
  </si>
  <si>
    <t>Módulo 5 - Insumos Diversos</t>
  </si>
  <si>
    <t>Módulo 4 - Custo de Reposição do Profissional Ausente</t>
  </si>
  <si>
    <t>Módulo 3 - Provisão para Rescisão</t>
  </si>
  <si>
    <t>Módulo 2 - Emcargos e Benefícios Anuais, Mensais e Diários</t>
  </si>
  <si>
    <t>MÓDULO 6 - CUSTOS INDIRETOS, TRIBUTOS E LUCROS</t>
  </si>
  <si>
    <t>MÓDULO 5: INSUMOS DIVERSOS</t>
  </si>
  <si>
    <t>Incidência do submódulo 2.2 sobre o Custo de Reposição</t>
  </si>
  <si>
    <t>Incidência do submódulo 2.2 sobre o aviso-prévio trabalhado</t>
  </si>
  <si>
    <t xml:space="preserve">Módulo 3 - Provisão para Rescisão </t>
  </si>
  <si>
    <t xml:space="preserve">Benefícios Mensais e Diários </t>
  </si>
  <si>
    <t>2.3</t>
  </si>
  <si>
    <t>GPS, FGTS e outras contribuições</t>
  </si>
  <si>
    <t>2.2</t>
  </si>
  <si>
    <t xml:space="preserve">13º (décimo terceiro) Salário, Férias e Adicional de Férias </t>
  </si>
  <si>
    <t xml:space="preserve">Encargos e Benefícios Anuais, Mensais e Diários </t>
  </si>
  <si>
    <t xml:space="preserve">Quadro-Resumo do Módulo 2 - Encargos e Benefícios anuais, mensais e diários </t>
  </si>
  <si>
    <t>SENAI-SENAC</t>
  </si>
  <si>
    <t>SESC ou SESI</t>
  </si>
  <si>
    <t xml:space="preserve">GPS, FGTS e outras contribuições </t>
  </si>
  <si>
    <t>Submódulo 2.2 - Encargos Previdenciários (GPS), Fundo de Garantia por Tempo de Serviço (FGTS) e outras contribuições.</t>
  </si>
  <si>
    <t>Incidência do submódulo 2.2 sobre 13º Salário e Adicional de Férias</t>
  </si>
  <si>
    <t>MÓDULO 2: ENCARGOS e BENEFÍCIOS ANUAIS, MENSAIS E DIÁRIOS</t>
  </si>
  <si>
    <t>Adicional de Periculosidade</t>
  </si>
  <si>
    <t>Classificação Brasileira de Ocupações (CBO)</t>
  </si>
  <si>
    <t>CBO 5199-35</t>
  </si>
  <si>
    <t>CBO 5143-20</t>
  </si>
  <si>
    <t>SERVENTE</t>
  </si>
  <si>
    <t>DA RONDOMAPI</t>
  </si>
  <si>
    <t>NOVA PROVA</t>
  </si>
  <si>
    <t>SITES ELETRÔNICOS E EMPRESAS                                                  VALORES UNITÁRIOS (R$)</t>
  </si>
  <si>
    <t>HM BALBI</t>
  </si>
  <si>
    <t>OBSERVAÇÕES:</t>
  </si>
  <si>
    <r>
      <t>(B)</t>
    </r>
    <r>
      <rPr>
        <sz val="11"/>
        <color rgb="FF000000"/>
        <rFont val="Times New Roman"/>
        <family val="1"/>
      </rPr>
      <t xml:space="preserve"> Custo Anual da Depreciação R$ ( </t>
    </r>
    <r>
      <rPr>
        <sz val="11"/>
        <color rgb="FFFF0000"/>
        <rFont val="Times New Roman"/>
        <family val="1"/>
      </rPr>
      <t>Cálculo: = (R$ A * 0,9) / (12 * 8) * 12)¹</t>
    </r>
  </si>
  <si>
    <r>
      <t xml:space="preserve">(C) </t>
    </r>
    <r>
      <rPr>
        <sz val="11"/>
        <color rgb="FF000000"/>
        <rFont val="Times New Roman"/>
        <family val="1"/>
      </rPr>
      <t xml:space="preserve">Custo MENSAL da depreciação que deverá ser considerado na planilha do Lavador R$  </t>
    </r>
    <r>
      <rPr>
        <sz val="11"/>
        <color rgb="FFFF0000"/>
        <rFont val="Times New Roman"/>
        <family val="1"/>
      </rPr>
      <t xml:space="preserve"> (Cálculo: = (R$ B / 12 / 4)²</t>
    </r>
  </si>
  <si>
    <t xml:space="preserve">¹ No cálculo do custo dos equipamentos, a Administração considerou o valor residual de 10% e vida útil de 08 anos. </t>
  </si>
  <si>
    <t>² 12 é o nº de meses e 4 é o nº de postos.</t>
  </si>
  <si>
    <t xml:space="preserve">2. Os valores dos itens 1  e 2 orçados pela HM BALBI não foram considerados para o preço médio, pois mostram-se consideravelmente superiores se comparados a outras cotações de preços. </t>
  </si>
  <si>
    <t>1. Considerando a discrepância com os demais valores pesquisados, foi desconsiderado para o cálculo da média do valor estimado para cada ITEM e para os itens 1 e 2 os valores cotados pela empresa HM BALBI.</t>
  </si>
  <si>
    <t>SITES ELETRÔNICOS E EMPRESAS                                                                                                                          VALORES UNITÁRIOS (R$)</t>
  </si>
  <si>
    <r>
      <t xml:space="preserve">(C) </t>
    </r>
    <r>
      <rPr>
        <b/>
        <sz val="11"/>
        <color rgb="FF000000"/>
        <rFont val="Times New Roman"/>
        <family val="1"/>
      </rPr>
      <t xml:space="preserve"> Custo MENSAL da Depreciação a ser considerado na planilha de cada posto (R$)  </t>
    </r>
    <r>
      <rPr>
        <b/>
        <sz val="11"/>
        <color rgb="FFFF0000"/>
        <rFont val="Times New Roman"/>
        <family val="1"/>
      </rPr>
      <t xml:space="preserve">(Cálculo: = (R$ B / 12 / 24)² 
</t>
    </r>
  </si>
  <si>
    <r>
      <t xml:space="preserve">(B) </t>
    </r>
    <r>
      <rPr>
        <b/>
        <sz val="11"/>
        <color rgb="FF000000"/>
        <rFont val="Times New Roman"/>
        <family val="1"/>
      </rPr>
      <t>Custo Anual da Depreciação  (</t>
    </r>
    <r>
      <rPr>
        <b/>
        <sz val="11"/>
        <color rgb="FFFF0000"/>
        <rFont val="Times New Roman"/>
        <family val="1"/>
      </rPr>
      <t xml:space="preserve">Cálculo: = (R$ A * 0,9) / (12 * 8) * 12)¹
</t>
    </r>
  </si>
  <si>
    <t>² 12 é o nº de meses e 24 o nº de serventes estimados.</t>
  </si>
  <si>
    <t xml:space="preserve">Observação: </t>
  </si>
  <si>
    <t>1. Tendo em vista a discrepância com os demais valores pesquisados, foi desconsiderado para o cálculo da média dos ITENS 1 e 3 o valor cotado pela empresa NOVA PROVA, e para os ITENS 3, 10 e 26 os cotados pela empresa HM BALBI.</t>
  </si>
  <si>
    <t>Posto</t>
  </si>
  <si>
    <t xml:space="preserve">VALORES ESTIMADOS (R$) </t>
  </si>
  <si>
    <t>2.7 Varrição de passeios e arruamentos(estacionamentos, garagens cobertas, passeios, alamedas)</t>
  </si>
  <si>
    <t>2.1 Pivo pavimentado adjacentes</t>
  </si>
  <si>
    <t>2.4 Pátios e áreas verdes – BAIXA frequência (MENSAL)</t>
  </si>
  <si>
    <t>FACÃO</t>
  </si>
  <si>
    <t>FOICE</t>
  </si>
  <si>
    <t>ENXADA</t>
  </si>
  <si>
    <t>PÁ TIPO PEDREIRO/COLHER</t>
  </si>
  <si>
    <r>
      <t xml:space="preserve">SAT (Seguro acidente de trabalho)    </t>
    </r>
    <r>
      <rPr>
        <b/>
        <sz val="9"/>
        <color rgb="FFFF0000"/>
        <rFont val="Times New Roman"/>
        <family val="1"/>
      </rPr>
      <t xml:space="preserve"> 1%, 2% ou 3%</t>
    </r>
  </si>
  <si>
    <r>
      <t xml:space="preserve">Seguro de vida, invalidez e funeral </t>
    </r>
    <r>
      <rPr>
        <b/>
        <sz val="9"/>
        <color rgb="FFFF0000"/>
        <rFont val="Times New Roman"/>
        <family val="1"/>
      </rPr>
      <t>(clausula 17º CCT/2018)</t>
    </r>
  </si>
  <si>
    <t>CAMISA: manga curta em tecido malha PV (malha fria) de 33% poliéster e 67% de viscose ou tecido dry fit 100% polyester</t>
  </si>
  <si>
    <t>CALÇA: de elástico, tecido tactel 100% poliamida, características: tecido leve e de toque macio</t>
  </si>
  <si>
    <t>m²</t>
  </si>
  <si>
    <r>
      <rPr>
        <b/>
        <u/>
        <sz val="10"/>
        <color theme="1"/>
        <rFont val="Times New Roman"/>
        <family val="1"/>
      </rPr>
      <t>1</t>
    </r>
    <r>
      <rPr>
        <b/>
        <sz val="10"/>
        <color theme="1"/>
        <rFont val="Times New Roman"/>
        <family val="1"/>
      </rPr>
      <t>. A planilha refere-se a ajustada pelo SELOG que teve por base Planilha de Preços apresentada pela empresa.</t>
    </r>
  </si>
  <si>
    <r>
      <rPr>
        <b/>
        <u/>
        <sz val="10"/>
        <rFont val="Times New Roman"/>
        <family val="1"/>
      </rPr>
      <t>1</t>
    </r>
    <r>
      <rPr>
        <b/>
        <sz val="10"/>
        <rFont val="Times New Roman"/>
        <family val="1"/>
      </rPr>
      <t>. Referida planilha foi ajustada pela CPL com base na apresentada pela empresa, observadas as condições do Acordo Coletivo de Trabalho nº RO000057/2017 celebrado entre  o SINTELPES/RO e a empresa para o exercício de 2017.</t>
    </r>
  </si>
  <si>
    <t>Dias trabalhados no mês</t>
  </si>
  <si>
    <r>
      <t xml:space="preserve">13º (décimo terceiro) Salário                </t>
    </r>
    <r>
      <rPr>
        <b/>
        <sz val="9"/>
        <color rgb="FFFF0000"/>
        <rFont val="Times New Roman"/>
        <family val="1"/>
      </rPr>
      <t xml:space="preserve">= (1/12)*100 </t>
    </r>
  </si>
  <si>
    <r>
      <t xml:space="preserve">Salário base = salário mínimo oficial vigente     </t>
    </r>
    <r>
      <rPr>
        <b/>
        <sz val="9"/>
        <color rgb="FFFF0000"/>
        <rFont val="Times New Roman"/>
        <family val="1"/>
      </rPr>
      <t xml:space="preserve"> (valor para somente 1 posto) </t>
    </r>
  </si>
  <si>
    <r>
      <t xml:space="preserve">Aviso-previo trabalhado    </t>
    </r>
    <r>
      <rPr>
        <b/>
        <sz val="9"/>
        <color rgb="FFFF0000"/>
        <rFont val="Times New Roman"/>
        <family val="1"/>
      </rPr>
      <t xml:space="preserve">= [(7/30)/12]x100 </t>
    </r>
    <r>
      <rPr>
        <b/>
        <vertAlign val="superscript"/>
        <sz val="9"/>
        <color rgb="FFFF0000"/>
        <rFont val="Times New Roman"/>
        <family val="1"/>
      </rPr>
      <t/>
    </r>
  </si>
  <si>
    <t>Mão de obra</t>
  </si>
  <si>
    <t>Adicional de Insalubridade</t>
  </si>
  <si>
    <t>3. Banheiros COM insalubridade</t>
  </si>
  <si>
    <t>4. Laboratório</t>
  </si>
  <si>
    <t>Custos dos serviços de limpeza e conservação - Porto Velho</t>
  </si>
  <si>
    <t>Total DOS SERVIÇOS (R$)</t>
  </si>
  <si>
    <t>R$ Unitário MENSAL (m²)</t>
  </si>
  <si>
    <t>Limpeza e Conservação</t>
  </si>
  <si>
    <t>Custo Direto - Subtotal (A + B + C + D)</t>
  </si>
  <si>
    <t>C.1    Tributos (especificar)</t>
  </si>
  <si>
    <t>TOTAL DOS CUSTOS INDIRETOS, LUCRO E TRIBUTOS</t>
  </si>
  <si>
    <t>PLANILHA DE CUSTOS E FORMAÇÃO DE PREÇOS</t>
  </si>
  <si>
    <t>Total dos serviços - PVH c/ PERICULOSIDADE</t>
  </si>
  <si>
    <t>Total dos serviços - PVH c/ INSALUBRIDADE</t>
  </si>
  <si>
    <t>Preço HOMEM MÊS (R$)</t>
  </si>
  <si>
    <t>Área Existente     m²</t>
  </si>
  <si>
    <t>Produtividade  (1/m²)*</t>
  </si>
  <si>
    <t>SUBTOTAL (R$/m²)</t>
  </si>
  <si>
    <t xml:space="preserve"> c) ISS                </t>
  </si>
  <si>
    <r>
      <t xml:space="preserve"> </t>
    </r>
    <r>
      <rPr>
        <b/>
        <sz val="9"/>
        <rFont val="Times New Roman"/>
        <family val="1"/>
      </rPr>
      <t xml:space="preserve">b) PIS       </t>
    </r>
    <r>
      <rPr>
        <sz val="9"/>
        <color rgb="FFFF0000"/>
        <rFont val="Times New Roman"/>
        <family val="1"/>
      </rPr>
      <t>(depende do regime de tributação)</t>
    </r>
  </si>
  <si>
    <r>
      <t xml:space="preserve"> </t>
    </r>
    <r>
      <rPr>
        <b/>
        <sz val="9"/>
        <rFont val="Times New Roman"/>
        <family val="1"/>
      </rPr>
      <t xml:space="preserve">a) Cofins </t>
    </r>
    <r>
      <rPr>
        <sz val="9"/>
        <color rgb="FFFF0000"/>
        <rFont val="Times New Roman"/>
        <family val="1"/>
      </rPr>
      <t>(depende do regime de tributação)</t>
    </r>
  </si>
  <si>
    <t>Total dos serviços c/ PERICULOSIDADE</t>
  </si>
  <si>
    <t>Total dos serviços c/ INSALUBRIDADE</t>
  </si>
  <si>
    <t>Custos dos serviços de limpeza e conservação - Sem Vale Transporte</t>
  </si>
  <si>
    <t>5. Espaços livres</t>
  </si>
  <si>
    <t>Lavagens de veículos</t>
  </si>
  <si>
    <t>Porto Velho/RO</t>
  </si>
  <si>
    <t>Ji-Paraná/RO</t>
  </si>
  <si>
    <t>Produtividade (1/M²)*</t>
  </si>
  <si>
    <t>PREÇO UNITÁRIO DO HOMEM MÊS (R$)</t>
  </si>
  <si>
    <t>PREÇO MENSAL (R$)</t>
  </si>
  <si>
    <t>5. Almoxarifado</t>
  </si>
  <si>
    <t>Total MENSAL DOS SERVIÇOS COM VALE TRANSPORTE (R$)</t>
  </si>
  <si>
    <t>2 Banheiros sem insalubridade</t>
  </si>
  <si>
    <t>3. Banheiros com insalubridade</t>
  </si>
  <si>
    <t>Valor TOTAL COM VALE TRANSPORTE</t>
  </si>
  <si>
    <t>VALOR MENSAL PARA SERIÇO DE LIMPEZA (ITEM 1)</t>
  </si>
  <si>
    <r>
      <t xml:space="preserve">Multa do FGTS e CS do aviso-prévio trabalhado </t>
    </r>
    <r>
      <rPr>
        <b/>
        <sz val="9"/>
        <color rgb="FFFF0000"/>
        <rFont val="Times New Roman"/>
        <family val="1"/>
      </rPr>
      <t xml:space="preserve">= ((1*50%*8%*1,94%)*100)+0,572%) </t>
    </r>
  </si>
  <si>
    <r>
      <t xml:space="preserve">Multa do FGTS e CS do aviso-prévio indenizado </t>
    </r>
    <r>
      <rPr>
        <b/>
        <sz val="9"/>
        <color rgb="FFFF0000"/>
        <rFont val="Times New Roman"/>
        <family val="1"/>
      </rPr>
      <t xml:space="preserve">=((8%*50%)*90%)*((1+5/56+5/56+5/168))*100 </t>
    </r>
  </si>
  <si>
    <r>
      <t xml:space="preserve">Multa do FGTS e CS do aviso-prévio indenizado </t>
    </r>
    <r>
      <rPr>
        <b/>
        <sz val="9"/>
        <color rgb="FFFF0000"/>
        <rFont val="Times New Roman"/>
        <family val="1"/>
      </rPr>
      <t xml:space="preserve"> =((8%*50%)*90%)*((1+5/56+5/56+5/168))*100</t>
    </r>
  </si>
  <si>
    <r>
      <t xml:space="preserve">Multa do FGTS e CS do aviso-prévio indenizado </t>
    </r>
    <r>
      <rPr>
        <b/>
        <sz val="9"/>
        <color rgb="FFFF0000"/>
        <rFont val="Times New Roman"/>
        <family val="1"/>
      </rPr>
      <t>=((8%*50%)*90%)*((1+5/56+5/56+5/168))*100</t>
    </r>
  </si>
  <si>
    <r>
      <t xml:space="preserve">Multa do FGTS e CS do aviso-prévio trabalhado </t>
    </r>
    <r>
      <rPr>
        <b/>
        <sz val="9"/>
        <color rgb="FFFF0000"/>
        <rFont val="Times New Roman"/>
        <family val="1"/>
      </rPr>
      <t xml:space="preserve">= ((1*50%*8%*1,94%)*100)+0,572%)  </t>
    </r>
  </si>
  <si>
    <r>
      <t xml:space="preserve">Multa do FGTS e CS do aviso-prévio indenizado </t>
    </r>
    <r>
      <rPr>
        <b/>
        <sz val="9"/>
        <color rgb="FFFF0000"/>
        <rFont val="Times New Roman"/>
        <family val="1"/>
      </rPr>
      <t xml:space="preserve"> =((8%*50%)*90%)*((1+5/56+5/56+5/168))*100 </t>
    </r>
  </si>
  <si>
    <r>
      <t xml:space="preserve">Aviso-previo trabalhado    </t>
    </r>
    <r>
      <rPr>
        <b/>
        <sz val="9"/>
        <color rgb="FFFF0000"/>
        <rFont val="Times New Roman"/>
        <family val="1"/>
      </rPr>
      <t xml:space="preserve">=[(7/30)/12]x100 </t>
    </r>
    <r>
      <rPr>
        <b/>
        <vertAlign val="superscript"/>
        <sz val="9"/>
        <color rgb="FFFF0000"/>
        <rFont val="Times New Roman"/>
        <family val="1"/>
      </rPr>
      <t/>
    </r>
  </si>
  <si>
    <r>
      <t xml:space="preserve">Multa do FGTS e CS do aviso-prévio trabalhado </t>
    </r>
    <r>
      <rPr>
        <b/>
        <sz val="9"/>
        <color rgb="FFFF0000"/>
        <rFont val="Times New Roman"/>
        <family val="1"/>
      </rPr>
      <t xml:space="preserve">= ((1*50%*8%*1,944%)*100)+0,572%) </t>
    </r>
  </si>
  <si>
    <t>VALOR MENSAL PARA LAVAGEM DE VEÍCULO (ITEM 2)</t>
  </si>
  <si>
    <t xml:space="preserve">Total MENSAL DOS SERVIÇOS </t>
  </si>
  <si>
    <t>Submódulo 2.3 - Benefícios Mensais e Diários</t>
  </si>
  <si>
    <t>Submódulo 2.2 - Encargos Previdenciários (GPS), Fundo de Garantia por Tempo de Serviço (FGTS) e outras contribuições</t>
  </si>
  <si>
    <t xml:space="preserve">Quantidade total a contratar (em função da unidade de medida) </t>
  </si>
  <si>
    <t>Quantidade total a contratar (em função da unidade de medida)</t>
  </si>
  <si>
    <t>Nº DE POSTOS</t>
  </si>
  <si>
    <t>Detalhamento DPF/JPN</t>
  </si>
  <si>
    <t>3. Espaços livres</t>
  </si>
  <si>
    <t>2. Banheiros SEM insalubridade</t>
  </si>
  <si>
    <t>5. Espaços livres (TELECENTRO, AUDITORIO, etc.)</t>
  </si>
  <si>
    <t>6. Almoxarifado</t>
  </si>
  <si>
    <t>3. Espaços livres (TELECENTRO, AUDITORIO, etc.)</t>
  </si>
  <si>
    <t xml:space="preserve">1. Para as esquadrias o cálculo da Produtividade será 1/300 x 16 (frequência no mês) x 0,005298 (1/188,76) = 0,00028255, conforme a IN 5/2017. </t>
  </si>
  <si>
    <t>Custo MENSAL por LAVADOR (R$)</t>
  </si>
  <si>
    <t>(B) Custo MENSAL por SERVENTE AE</t>
  </si>
  <si>
    <t>(A) Custo MENSAL por SERVENTE AI</t>
  </si>
  <si>
    <t>LAVADOR             JPN</t>
  </si>
  <si>
    <t>LAVADOR            PVH</t>
  </si>
  <si>
    <t>Valor total - posto LAVADOR</t>
  </si>
  <si>
    <t>1.3 Espaços livres (TELECENTRO, AUDITORIO, etc.)</t>
  </si>
  <si>
    <t>1.3 Espaços livres (hall, salão, revestidos com pisos ou acarpetados, dojo)</t>
  </si>
  <si>
    <t>1.4 Almoxarifados/galpões, depósitos</t>
  </si>
  <si>
    <t>5. Almoxarifado/Galpão</t>
  </si>
  <si>
    <r>
      <t xml:space="preserve">Transporte            </t>
    </r>
    <r>
      <rPr>
        <b/>
        <sz val="9"/>
        <color rgb="FFFF0000"/>
        <rFont val="Times New Roman"/>
        <family val="1"/>
      </rPr>
      <t>(clausula 14ª, § 7º da CCT 2018)</t>
    </r>
  </si>
  <si>
    <t>Servente c/ Periculosidade</t>
  </si>
  <si>
    <t>Servente c/ Insalubridade</t>
  </si>
  <si>
    <t>IDENTIFICAÇÃO DA EMPRESA</t>
  </si>
  <si>
    <t>RAZÃO SOCIAL:</t>
  </si>
  <si>
    <t>CNPJ:</t>
  </si>
  <si>
    <t>TEL.:</t>
  </si>
  <si>
    <t>ENDEREÇO:</t>
  </si>
  <si>
    <t>CIDADE:</t>
  </si>
  <si>
    <t>ESTADO:</t>
  </si>
  <si>
    <t>NOME P/ CONTATO:</t>
  </si>
  <si>
    <t>E-MAIL:</t>
  </si>
  <si>
    <t>DADOS BANCÁRIOS DA EMPRESA</t>
  </si>
  <si>
    <t>BANCO:</t>
  </si>
  <si>
    <t>AGÊNCIA:</t>
  </si>
  <si>
    <t>CONTA-CORRENTE:</t>
  </si>
  <si>
    <t>DADOS DO REPRESENTANTE LEGAL</t>
  </si>
  <si>
    <t>NOME:</t>
  </si>
  <si>
    <t>CPF:</t>
  </si>
  <si>
    <t>RG:</t>
  </si>
  <si>
    <t>CARGO OCUPADO NA EMPRESA:</t>
  </si>
  <si>
    <t>INFORMAÇÕES REFERENTES AO OBJETO</t>
  </si>
  <si>
    <t>DECLARAÇÃO 1</t>
  </si>
  <si>
    <t>OPTANTE  DO SIMPLES NACIONAL?</t>
  </si>
  <si>
    <t>(Informe SIM ou NÃO)</t>
  </si>
  <si>
    <t>PRAZO DE VALIDADE DA PROPOSTA:</t>
  </si>
  <si>
    <t>(mínimo de 60 dias)</t>
  </si>
  <si>
    <t>LOCAL E DATA</t>
  </si>
  <si>
    <t>NOME E ASSINATURA DO RESPONSÁVEL LEGAL</t>
  </si>
  <si>
    <r>
      <t>dias</t>
    </r>
    <r>
      <rPr>
        <sz val="10"/>
        <rFont val="Times New Roman"/>
        <family val="1"/>
      </rPr>
      <t xml:space="preserve"> (mínimo 60)</t>
    </r>
  </si>
  <si>
    <r>
      <t>ATENÇÃO:</t>
    </r>
    <r>
      <rPr>
        <sz val="10"/>
        <rFont val="Times New Roman"/>
        <family val="1"/>
      </rPr>
      <t xml:space="preserve"> PREENCHER SOMENTE AS CÉLULAS COM FUNDO </t>
    </r>
    <r>
      <rPr>
        <u/>
        <sz val="10"/>
        <rFont val="Times New Roman"/>
        <family val="1"/>
      </rPr>
      <t>AMARELO</t>
    </r>
    <r>
      <rPr>
        <sz val="10"/>
        <rFont val="Times New Roman"/>
        <family val="1"/>
      </rPr>
      <t>.</t>
    </r>
  </si>
  <si>
    <t>PROPOSTA DE PREÇOS</t>
  </si>
  <si>
    <t xml:space="preserve">Declaramos que no preço proposto estão incluídos todos os custos relacionados com salários, encargos trabalhistas, previdenciários e sociais, e todos os demais impostos, taxas e outras despesas decorrentes de exigência legal. </t>
  </si>
  <si>
    <t>INSTRUÇÕES PARA O PREENCHIMENTO DAS PLANILHAS</t>
  </si>
  <si>
    <r>
      <t>(1</t>
    </r>
    <r>
      <rPr>
        <sz val="12"/>
        <rFont val="Times New Roman"/>
        <family val="1"/>
      </rPr>
      <t>) Deverá ser observado o piso salarial da respectiva categoria, firmado em instrumento coletivo de trabalho vigente.</t>
    </r>
  </si>
  <si>
    <r>
      <t>PREÇO ANUAL GLOBAL*</t>
    </r>
    <r>
      <rPr>
        <b/>
        <sz val="10"/>
        <rFont val="Times New Roman"/>
        <family val="1"/>
      </rPr>
      <t xml:space="preserve"> ==&gt;
</t>
    </r>
    <r>
      <rPr>
        <b/>
        <sz val="10"/>
        <color rgb="FFFF0000"/>
        <rFont val="Times New Roman"/>
        <family val="1"/>
      </rPr>
      <t/>
    </r>
  </si>
  <si>
    <t>LOCAL</t>
  </si>
  <si>
    <t xml:space="preserve">SIM                    </t>
  </si>
  <si>
    <t xml:space="preserve">SIM                   </t>
  </si>
  <si>
    <t xml:space="preserve">NÃO                         </t>
  </si>
  <si>
    <t>Vilhena e Guajará-Mirim/RO</t>
  </si>
  <si>
    <r>
      <rPr>
        <sz val="10"/>
        <rFont val="Times New Roman"/>
        <family val="1"/>
      </rPr>
      <t>OBJETO: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>Serviços de</t>
    </r>
    <r>
      <rPr>
        <b/>
        <sz val="10"/>
        <rFont val="Times New Roman"/>
        <family val="1"/>
      </rPr>
      <t xml:space="preserve"> LIMPEZA, CONSERVAÇÃO e HIGIENIZAÇÃO DAS INSTALAÇÕES E BENS E SERVIÇOS DE LAVAGEM DE VEÍCULOS</t>
    </r>
    <r>
      <rPr>
        <b/>
        <sz val="10"/>
        <color indexed="16"/>
        <rFont val="Times New Roman"/>
        <family val="1"/>
      </rPr>
      <t xml:space="preserve"> </t>
    </r>
    <r>
      <rPr>
        <b/>
        <sz val="10"/>
        <rFont val="Times New Roman"/>
        <family val="1"/>
      </rPr>
      <t>p</t>
    </r>
    <r>
      <rPr>
        <sz val="10"/>
        <rFont val="Times New Roman"/>
        <family val="1"/>
      </rPr>
      <t>ara atender as Unidades de Polícia Federal em Rondônia, localizadas em Porto Velho, Guajará-Mirim, Ji-Paraná, Pimenta Bueno, Vilhena e Pimenteiras.</t>
    </r>
  </si>
  <si>
    <r>
      <t>(3)</t>
    </r>
    <r>
      <rPr>
        <sz val="12"/>
        <rFont val="Times New Roman"/>
        <family val="1"/>
      </rPr>
      <t xml:space="preserve"> Face a  previsão  de  pagamento  de  40%  de  adicional  de  insalubridade para  os  serventes  que  higienizam  as instalações sanitárias utilizadas pelo público em geral, deverão ser destacados serventes específicos para referidos trabalhos, estimando-se no mínimo 01 servente para cada localidade com previsão de serviços com insalubridade;</t>
    </r>
  </si>
  <si>
    <r>
      <t>(7)</t>
    </r>
    <r>
      <rPr>
        <sz val="12"/>
        <rFont val="Times New Roman"/>
        <family val="1"/>
      </rPr>
      <t xml:space="preserve"> Vale alimentação/ (mercado) e respectivo desconto, conforme previsto no acordo coletivo da categoria.</t>
    </r>
  </si>
  <si>
    <t>1.3 Almoxarifados/galpões</t>
  </si>
  <si>
    <t>1.4 Almoxarifados/galpões</t>
  </si>
  <si>
    <t>1.5 Almoxarifados/galpões</t>
  </si>
  <si>
    <t>2.2 Pátios e áreas verdes – MÉDIA frequência</t>
  </si>
  <si>
    <t>2.6 Coleta de detritos em pátios e áreas verdes com FREQUÊNCIA DIÁRIA</t>
  </si>
  <si>
    <t>6. Almoxarifados/Galpões</t>
  </si>
  <si>
    <t>2. Banheiros sem insalubridade</t>
  </si>
  <si>
    <t>1.2 Banheiros com insalubridade</t>
  </si>
  <si>
    <t>1.2 Banheiros sem insalubridade</t>
  </si>
  <si>
    <t>1.2 Banheiros COM insalubridade</t>
  </si>
  <si>
    <t>1.2 Banheiros SEM insalubridade</t>
  </si>
  <si>
    <r>
      <t xml:space="preserve">Transporte  </t>
    </r>
    <r>
      <rPr>
        <b/>
        <sz val="9"/>
        <color rgb="FFFF0000"/>
        <rFont val="Times New Roman"/>
        <family val="1"/>
      </rPr>
      <t>=[(2xVTx21) – (6%xSB)]</t>
    </r>
  </si>
  <si>
    <r>
      <rPr>
        <b/>
        <sz val="9"/>
        <rFont val="Times New Roman"/>
        <family val="1"/>
      </rPr>
      <t>Auxílio-Refeição/Alimentação</t>
    </r>
    <r>
      <rPr>
        <sz val="9"/>
        <rFont val="Times New Roman"/>
        <family val="1"/>
      </rPr>
      <t xml:space="preserve">  (Vales, cesta básica, etc.)                          </t>
    </r>
    <r>
      <rPr>
        <sz val="9"/>
        <color rgb="FFFF0000"/>
        <rFont val="Times New Roman"/>
        <family val="1"/>
      </rPr>
      <t xml:space="preserve"> (clausula 14ª da CCT 2018) </t>
    </r>
    <r>
      <rPr>
        <sz val="9"/>
        <rFont val="Times New Roman"/>
        <family val="1"/>
      </rPr>
      <t xml:space="preserve">       </t>
    </r>
    <r>
      <rPr>
        <b/>
        <sz val="9"/>
        <color rgb="FFFF0000"/>
        <rFont val="Times New Roman"/>
        <family val="1"/>
      </rPr>
      <t>= [(360*0,99%)]</t>
    </r>
  </si>
  <si>
    <r>
      <t xml:space="preserve">Transporte                   </t>
    </r>
    <r>
      <rPr>
        <b/>
        <sz val="9"/>
        <color rgb="FFFF0000"/>
        <rFont val="Times New Roman"/>
        <family val="1"/>
      </rPr>
      <t>=[(2xVTx21) – (6%xSB)]</t>
    </r>
  </si>
  <si>
    <r>
      <rPr>
        <b/>
        <sz val="9"/>
        <rFont val="Times New Roman"/>
        <family val="1"/>
      </rPr>
      <t>Auxílio-Refeição/Alimentação</t>
    </r>
    <r>
      <rPr>
        <sz val="9"/>
        <rFont val="Times New Roman"/>
        <family val="1"/>
      </rPr>
      <t xml:space="preserve">  (Vales, cesta básica, etc.)                          </t>
    </r>
    <r>
      <rPr>
        <sz val="9"/>
        <color rgb="FFFF0000"/>
        <rFont val="Times New Roman"/>
        <family val="1"/>
      </rPr>
      <t xml:space="preserve"> (clausula 14ª da CCT 2018) </t>
    </r>
    <r>
      <rPr>
        <sz val="9"/>
        <rFont val="Times New Roman"/>
        <family val="1"/>
      </rPr>
      <t xml:space="preserve">       </t>
    </r>
    <r>
      <rPr>
        <sz val="9"/>
        <color rgb="FFFF0000"/>
        <rFont val="Times New Roman"/>
        <family val="1"/>
      </rPr>
      <t>= [(360*0,99%)]</t>
    </r>
  </si>
  <si>
    <t>4. Almoxarifados/Galpões</t>
  </si>
  <si>
    <t>2. Pátios e áreas verdes de baixa frequencia e campo de futebol</t>
  </si>
  <si>
    <t>LAVAGEM DE VEÍCULOS</t>
  </si>
  <si>
    <t xml:space="preserve">PREÇO UNITÁRIO DO HOMEM MÊS </t>
  </si>
  <si>
    <t>PREÇO 20 MESES (R$)</t>
  </si>
  <si>
    <t>UNITÁRIO</t>
  </si>
  <si>
    <t>SR/RO e GISE/PVH</t>
  </si>
  <si>
    <t>ROOSEVELT e BASES</t>
  </si>
  <si>
    <t>ÁGUA SANITÁRIA, de 1ª qualidade, a base de hipoclorito de sódio e água, com teor de cloroativo de 2,0% a 2,5%p/p, princípio ativo hipoclorito de sódio, produto a base de cloro. Embalagem plástica de 1 litro.</t>
  </si>
  <si>
    <t>LITRO</t>
  </si>
  <si>
    <t>ALCOOL etílico hidratado 65° INPM (Gel, frasco de 500 g.) conforme norma da ANVISA</t>
  </si>
  <si>
    <t>Areia branca para cinzeiros (saco de 20 kg)</t>
  </si>
  <si>
    <t>BALDE plástico, polietileno de alta densidade, alta resistência a impacto, paredes e fundo reforçados, reforço no encaixe da alça, alça em aço 1010/20 zincado, capacidade mínima 13 litros.</t>
  </si>
  <si>
    <t>BALDE plástico, polietileno de alta densidade, alta resistência a impacto, paredes e fundo reforçados, reforço no encaixe da alça, alça em aço 1010/20 zincado, capacidade mínima 20 litros.</t>
  </si>
  <si>
    <t>DESENTUPIDOR DE PIA, com cabo em madeira plastificado.</t>
  </si>
  <si>
    <t>DESENTUPIDOR P/ WC, com cabo longo de madeira plastificado.</t>
  </si>
  <si>
    <t>GALÃO</t>
  </si>
  <si>
    <t>FRASCO</t>
  </si>
  <si>
    <t>ESCOVA oval, base plástica, de lavar (350 mm)</t>
  </si>
  <si>
    <t>PACOTE</t>
  </si>
  <si>
    <t>PAR</t>
  </si>
  <si>
    <t>SABÃO EM PÓ com tensoativo biodegradável. Embalagem com no mínimo 500 g, contendo dados do fabricante, data de fabricação, prazo de validade e composição química.</t>
  </si>
  <si>
    <t>SACO plástico p/ lixo, 100 litros, cor preta (lixo úmido) ou cor azul (lixo seco), de polipropileno, pacote com 5 unidades</t>
  </si>
  <si>
    <t>EMBALAGEM</t>
  </si>
  <si>
    <t>QUILO</t>
  </si>
  <si>
    <t>MATERIAIS DE HIGIENE E OUTROS</t>
  </si>
  <si>
    <t>PAPEL HIGIÊNICO, extra branco, macio, não reciclado, sem pigmento, de 1ª qualidade, 100% fibras virgens, gofrado, folha dupla picotada, biodegradável hidrossolúvel (descartável no vaso sanitário, sem perigo de entupimento), rolos de no mínimo 250 m, fardo com 16 rolos</t>
  </si>
  <si>
    <t>FARDO C/16</t>
  </si>
  <si>
    <t>PASTILHA sanitária</t>
  </si>
  <si>
    <t>COPO descartável de 180 ml em caixa contendo 2.500 copos</t>
  </si>
  <si>
    <t>CAIXA</t>
  </si>
  <si>
    <t>Embalagem com  05 LITROS</t>
  </si>
  <si>
    <t>Cera liquida especialmente para brilho em pneus, pisos, tapetes, vinil e artigos de borracha.</t>
  </si>
  <si>
    <t>Escova de nylon manual para limpeza de veículo</t>
  </si>
  <si>
    <t>Esponja macia para lavagem da pintura de veículos</t>
  </si>
  <si>
    <t>Estopa para polimento de veículo</t>
  </si>
  <si>
    <r>
      <t xml:space="preserve">Flanela em </t>
    </r>
    <r>
      <rPr>
        <b/>
        <sz val="10"/>
        <rFont val="Times New Roman"/>
        <family val="1"/>
      </rPr>
      <t>100</t>
    </r>
    <r>
      <rPr>
        <sz val="10"/>
        <rFont val="Times New Roman"/>
        <family val="1"/>
      </rPr>
      <t xml:space="preserve">% algodão, tamanho </t>
    </r>
    <r>
      <rPr>
        <b/>
        <sz val="10"/>
        <rFont val="Times New Roman"/>
        <family val="1"/>
      </rPr>
      <t>33</t>
    </r>
    <r>
      <rPr>
        <sz val="10"/>
        <rFont val="Times New Roman"/>
        <family val="1"/>
      </rPr>
      <t xml:space="preserve"> cm x </t>
    </r>
    <r>
      <rPr>
        <b/>
        <sz val="10"/>
        <rFont val="Times New Roman"/>
        <family val="1"/>
      </rPr>
      <t>53</t>
    </r>
    <r>
      <rPr>
        <sz val="10"/>
        <rFont val="Times New Roman"/>
        <family val="1"/>
      </rPr>
      <t xml:space="preserve"> cm, fardo com </t>
    </r>
    <r>
      <rPr>
        <b/>
        <sz val="10"/>
        <rFont val="Times New Roman"/>
        <family val="1"/>
      </rPr>
      <t>25</t>
    </r>
    <r>
      <rPr>
        <sz val="10"/>
        <rFont val="Times New Roman"/>
        <family val="1"/>
      </rPr>
      <t xml:space="preserve"> flanelas.</t>
    </r>
  </si>
  <si>
    <t>DESENGRAXANTE, Produto ácido, com ótima eficiência na remoção de sujidades inorgânicas, em local de difícil acesso com as mãos, com ótima eficácia, diluentes de graxas e afins. Ref. LM BASE ou SOLUPAM</t>
  </si>
  <si>
    <t>Embalagem com 05 litros</t>
  </si>
  <si>
    <t>Luva de látex, fabricadas em látex natural, com adição de látex sintético, composto nitrílico de alta qualidade, revestida em verniz silver, acabamento interno liso (silverlined), palma antiderrapante, proteção das mãos e braços, tamanho grande.</t>
  </si>
  <si>
    <t>Shampoo automotivo, viscoso, neutro, composto por substâncias tensoativas iônicas e não iônicas, com propriedades umectantes, dispersantes e emulsionantes, concentrado e biodegradável.</t>
  </si>
  <si>
    <t>Silicone líquido, odorizado, sem gordura, abrilhantador de superfície.</t>
  </si>
  <si>
    <t xml:space="preserve">Custo MENSAL (R$)        </t>
  </si>
  <si>
    <t>ALCOOL etílico hidratado 46,3° INPM (frasco de 1 litro) conforme norma da ANVISA 54° GL</t>
  </si>
  <si>
    <t>CERA líquida para pisos.</t>
  </si>
  <si>
    <t>DESINFETANTE concentrado, aparência líquido viscoso, para limpeza geral e pesada e conservação da área, em galão de 5 litros. Marca Prolin ou similar.</t>
  </si>
  <si>
    <t>DESINFETANTE líquido, germicida e bactericida. Marca Ype ou similar.</t>
  </si>
  <si>
    <t>DESODORIZADOR de ambiente – spray, álcool etílico 96, GL 41,68%. Composição: ingrediente ativo, benzoato de sódio, borato de sódio, fragrância e propelentes. Fragrância suave, embalagem no mínimo com 360 ml, livre de CFC. Marca Bom Ar ou similar.</t>
  </si>
  <si>
    <t>DETERGENTE líquido, biodegradável, frasco de 500 ml. Marca Limpol ou similar.</t>
  </si>
  <si>
    <t>ESCOVA para higienização de vaso sanitário, com cerdas de nylon, com suporte em pvc.</t>
  </si>
  <si>
    <t>ESCOVÃO para limpeza em geral, cerdas duras em nylon, corpo de nylon. Escovão para limpeza em geral, cerdas duras em nylon, corpo de nylon.</t>
  </si>
  <si>
    <t>ESPONJA de lã de aço, para limpeza em geral. Embalagem: pacote de 60 gr com 8 unidades, marca do fabricante, data de fabricação e prazo de validade, Marca Assolan ou similar.</t>
  </si>
  <si>
    <t>ESPONJA de lavar louça dupla face (fibra e espuma), formato retangular medindo 110mm x 75mm x 20mm, abrasividade média, 3mm . Composição: espuma de poliurietano com bactericida, fibra sintética com abrasivo. Marca 3M ou similar.</t>
  </si>
  <si>
    <t>FLANELA, de 1ª qualidade, medindo 40 X 60, 100% algodão, para uso geral.</t>
  </si>
  <si>
    <t>INSETICIDA aerossol, eficaz contra o mosquito da dengue, combate pragas caseiras: moscas, mosquitos, pernilongos, muriçocas, carapanãs e baratas, inodoro. Frasco mínimo de 300 ml. Marca SBP ou similar.</t>
  </si>
  <si>
    <t>LIMPA ALUMINIO líquido, solubilidade em água completa, frasco de 500 ml. Marca Bom Bril ou similar.</t>
  </si>
  <si>
    <t>LIMPA VIDRO, 500 ml, na versão pulverizador. Marca Veja ou similar.</t>
  </si>
  <si>
    <t>LIMPADOR MULTIUSO, embalagem 5 litros.</t>
  </si>
  <si>
    <t>LIMPADOR MULTIUSO, tensoativo não iônico, alcalinizante, sequestrante, solubilizante, éter glicólico, álcool, perfume e água, frasco de 500 ml. Marca Veja ou similar.</t>
  </si>
  <si>
    <t>LUVA de borracha, antiderrapante, resistente, impermeável para limpeza, tamanhos P, M e G, cores verde (escritório) amarela ou azul (banheiro).</t>
  </si>
  <si>
    <t>PÁ de ferro c/ cabo p/ área externa.</t>
  </si>
  <si>
    <t>PÁ metálica/plástico com coletor de lixo, cabo longo medindo aproximadamente 70 cm de comprimento.</t>
  </si>
  <si>
    <t>PANO DE CHAO em algodão, branco, medindo 40 x 67 cm, tipo saco.</t>
  </si>
  <si>
    <t>PANO DE PRATO, 100% algodão,  medindo 69x43cm.</t>
  </si>
  <si>
    <t>Papel toalha interfolhas contém 1000 folhas de no mínimo 20,5cm x 22,0cm cada, 4 maços de 250 toalhas com duas dobras, cor branca, adequado perfeitamente ao suporte fornecido pela contratada, de forma a possibilitar a retirada de apenas uma folha por vez, sem que ocorra esfarelamento do papel. Marca Aro ou similar.</t>
  </si>
  <si>
    <t>REMOVEDOR DE sujidades, limpa pedra.</t>
  </si>
  <si>
    <t>REPELENTE elétrico. Marca RAID/SBP ou similar.</t>
  </si>
  <si>
    <t>RODO para piso com duas borrachas – base em polipropileno – com cabo de alumínio/madeira/pvc plastificada com rosca – comprimento de 1500mm.</t>
  </si>
  <si>
    <t>SABÃO em barra, de glicerina, 200g. Embalado em saco plástico, EB 56/54 da ABNT, contendo 05 unidades.</t>
  </si>
  <si>
    <t>SACO plástico p/ lixo, 15 litros, cor preta (lixo úmido) ou cor azul (lixo seco), de polipropileno, pacote com 20 unidades.</t>
  </si>
  <si>
    <t>SACO plástico p/ lixo, 30 litros, cor preta (lixo úmido) ou cor azul (lixo seco),de polipropileno, pacote com 10 unidades.</t>
  </si>
  <si>
    <t>SACO plástico p/ lixo, 50 litros, cor preta (lixo úmido) ou cor azul (lixo seco), de polipropileno pacote com 10 unidades.</t>
  </si>
  <si>
    <t>SAPONÁCEO em pó em embalagem de 300 gr.</t>
  </si>
  <si>
    <t>SODA CAÚSTICA.</t>
  </si>
  <si>
    <t>VASSOURA DE NYLON.</t>
  </si>
  <si>
    <t>VASSOURA DE PELO, Com cabo de alumínio/madeira/pvc, plastificada com rosca,  para limpeza em geral.</t>
  </si>
  <si>
    <t>VASSOURA DE TETO cabo de 1,50m.</t>
  </si>
  <si>
    <t>VALOR TOTAL ESTIMADO para os MATERIAIS DE LIMPEZA (R$) </t>
  </si>
  <si>
    <t>PAPEL HIGIÊNICO, extra branco, macio, não reciclado, sem pigmento, de 1ª qualidade, 100% fibras virgens, gofrado, folha dupla picotada, biodegradável hidrossolúvel (descartável no vaso sanitário, sem perigo de entupimento), rolos de no mínimo 30 m, fardo com 64 rolos</t>
  </si>
  <si>
    <t>FARDO COM 64 ROLOS</t>
  </si>
  <si>
    <t>COPO descartável de 50 ml em caixa contendo5.000 copos</t>
  </si>
  <si>
    <t>VALOR TOTAL ESTIMADO para os MATERIAIS DE HIGIENE E OUTROS (R$)</t>
  </si>
  <si>
    <t>Custo MENSAL de materiais (R$) </t>
  </si>
  <si>
    <t xml:space="preserve">DPF/GMI </t>
  </si>
  <si>
    <r>
      <t>VASSOURA tipo GARI, material p</t>
    </r>
    <r>
      <rPr>
        <sz val="9"/>
        <color rgb="FF333333"/>
        <rFont val="Times New Roman"/>
        <family val="1"/>
      </rPr>
      <t>iaçava, arame, prego, madeira e cola</t>
    </r>
    <r>
      <rPr>
        <sz val="9"/>
        <color rgb="FF000000"/>
        <rFont val="Times New Roman"/>
        <family val="1"/>
      </rPr>
      <t>, comprimento do cabo de  1,50 m e cepo de 40 cm, Aplicação: limpeza em geral, Características Adicionais: cerdas de 13 cm de comprimento, madeira aparelhada e lixada, peso de 300 gr</t>
    </r>
  </si>
  <si>
    <r>
      <t>SABONETE LÍQUIDO, aspecto físico viscoso, com fragrância suave de lavanda. Aplicação: para higienização e hidratação da pele.</t>
    </r>
    <r>
      <rPr>
        <b/>
        <sz val="9"/>
        <color rgb="FF000000"/>
        <rFont val="Times New Roman"/>
        <family val="1"/>
      </rPr>
      <t>Frasco de 1 litro.</t>
    </r>
    <r>
      <rPr>
        <sz val="9"/>
        <color rgb="FF000000"/>
        <rFont val="Times New Roman"/>
        <family val="1"/>
      </rPr>
      <t> Marca Ecolab ou similar</t>
    </r>
  </si>
  <si>
    <r>
      <t xml:space="preserve">Saco de pano alvejado, </t>
    </r>
    <r>
      <rPr>
        <b/>
        <sz val="10"/>
        <rFont val="Times New Roman"/>
        <family val="1"/>
      </rPr>
      <t>100</t>
    </r>
    <r>
      <rPr>
        <sz val="10"/>
        <rFont val="Times New Roman"/>
        <family val="1"/>
      </rPr>
      <t xml:space="preserve">% algodão, isento de goma, tamanho </t>
    </r>
    <r>
      <rPr>
        <b/>
        <sz val="10"/>
        <rFont val="Times New Roman"/>
        <family val="1"/>
      </rPr>
      <t>42</t>
    </r>
    <r>
      <rPr>
        <sz val="10"/>
        <rFont val="Times New Roman"/>
        <family val="1"/>
      </rPr>
      <t>x</t>
    </r>
    <r>
      <rPr>
        <b/>
        <sz val="10"/>
        <rFont val="Times New Roman"/>
        <family val="1"/>
      </rPr>
      <t>70</t>
    </r>
    <r>
      <rPr>
        <sz val="10"/>
        <rFont val="Times New Roman"/>
        <family val="1"/>
      </rPr>
      <t xml:space="preserve"> cm com </t>
    </r>
    <r>
      <rPr>
        <b/>
        <sz val="10"/>
        <rFont val="Times New Roman"/>
        <family val="1"/>
      </rPr>
      <t>14</t>
    </r>
    <r>
      <rPr>
        <sz val="10"/>
        <rFont val="Times New Roman"/>
        <family val="1"/>
      </rPr>
      <t xml:space="preserve"> batidas.</t>
    </r>
  </si>
  <si>
    <t>¹ 4 é o n° de postos.</t>
  </si>
  <si>
    <t>² 12 é o nº de meses e 23 o nº de serventes estimados.</t>
  </si>
  <si>
    <t>(A) Valor TOTAL estimado dos Equipamentos para um período de 12 meses</t>
  </si>
  <si>
    <t>(B) Custo da Depreciação para um período de 12 meses  (Cálculo: = (R$ A * 0,9) / (12 * 8) * 12)¹</t>
  </si>
  <si>
    <t>² 12 é o nº de meses e 4 o nº de postos estimados.</t>
  </si>
  <si>
    <t>                                 Custo TOTAL ANUAL de materiais - LIMPEZA + HIGIENE/OUTROS (R$)</t>
  </si>
  <si>
    <t>Custo Total PARA 12 MESES (R$)</t>
  </si>
  <si>
    <t>(A) Valor TOTAL estimado dos Equipamentos para um período de12 meses</t>
  </si>
  <si>
    <t xml:space="preserve">(B) Custo da Depreciação para um período de 12 meses  (Cálculo: = (R$ A * 0,9) / (12 * 8) *12)¹
</t>
  </si>
  <si>
    <t>QUANT. PARA 60 MESES</t>
  </si>
  <si>
    <r>
      <t xml:space="preserve">CHAPÉU: </t>
    </r>
    <r>
      <rPr>
        <sz val="11"/>
        <color rgb="FF000000"/>
        <rFont val="Times New Roman"/>
        <family val="1"/>
      </rPr>
      <t>tipo mexicano</t>
    </r>
  </si>
  <si>
    <r>
      <t xml:space="preserve">  Custo MENSAL POR SERVENTE (R$) (Custo mensal / </t>
    </r>
    <r>
      <rPr>
        <b/>
        <sz val="9"/>
        <color rgb="FFFF0000"/>
        <rFont val="Times New Roman"/>
        <family val="1"/>
      </rPr>
      <t>23</t>
    </r>
    <r>
      <rPr>
        <b/>
        <sz val="9"/>
        <rFont val="Times New Roman"/>
        <family val="1"/>
      </rPr>
      <t>)¹ </t>
    </r>
  </si>
  <si>
    <r>
      <t xml:space="preserve">(C)  Custo MENSAL da Depreciação a ser considerado na planilha de cada posto (Cálculo: = (R$ B / 12 / </t>
    </r>
    <r>
      <rPr>
        <b/>
        <sz val="12"/>
        <color rgb="FFFF0000"/>
        <rFont val="Times New Roman"/>
        <family val="1"/>
      </rPr>
      <t>23</t>
    </r>
    <r>
      <rPr>
        <b/>
        <sz val="12"/>
        <rFont val="Times New Roman"/>
        <family val="1"/>
      </rPr>
      <t xml:space="preserve">)² 
</t>
    </r>
  </si>
  <si>
    <t xml:space="preserve">Produto destinado à lavagem de pisos, carrocerias, baús de alumínio e veículos em geral. </t>
  </si>
  <si>
    <t>Aromatizante em Spray automotivo, composto de álcool etílico, emulsionantes, coadjuvantes, atenuador de espuma, conservantes, fragrância lavanda, livre de gás propelente.</t>
  </si>
  <si>
    <t>Cera cristalizadora de pintura, com componentes especiais em sua formula para criar uma película seladora que cristaliza a pintura, contendo carnaúba.</t>
  </si>
  <si>
    <t>SR/RO e GISE</t>
  </si>
  <si>
    <t>JPN</t>
  </si>
  <si>
    <t>Detalhamento SR/RO e GISE PVH</t>
  </si>
  <si>
    <t>Custo com SERVENTE AI em 60 MESES</t>
  </si>
  <si>
    <t>Custo com SERVENTE AE em 60 MESES</t>
  </si>
  <si>
    <t>Custo com LAVADOR em 60 MESES</t>
  </si>
  <si>
    <t>Embalagem com  02 LITROS</t>
  </si>
  <si>
    <t xml:space="preserve">QUANT. </t>
  </si>
  <si>
    <t xml:space="preserve">VALOR (R$) </t>
  </si>
  <si>
    <r>
      <t xml:space="preserve">Custo MENSAL por Lavador (Cálculo: Valor Mensal / </t>
    </r>
    <r>
      <rPr>
        <b/>
        <sz val="10"/>
        <color rgb="FFFF0000"/>
        <rFont val="Times New Roman"/>
        <family val="1"/>
      </rPr>
      <t>4</t>
    </r>
    <r>
      <rPr>
        <b/>
        <sz val="10"/>
        <rFont val="Times New Roman"/>
        <family val="1"/>
      </rPr>
      <t>¹)</t>
    </r>
  </si>
  <si>
    <r>
      <t xml:space="preserve">(C)  Custo MENSAL da Depreciação a ser considerado na planilha de cada posto (Cálculo: = (R$ B / </t>
    </r>
    <r>
      <rPr>
        <b/>
        <sz val="11"/>
        <color rgb="FFFF0000"/>
        <rFont val="Times New Roman"/>
        <family val="1"/>
      </rPr>
      <t>12</t>
    </r>
    <r>
      <rPr>
        <b/>
        <sz val="11"/>
        <rFont val="Times New Roman"/>
        <family val="1"/>
      </rPr>
      <t xml:space="preserve"> / </t>
    </r>
    <r>
      <rPr>
        <b/>
        <sz val="11"/>
        <color rgb="FFFF0000"/>
        <rFont val="Times New Roman"/>
        <family val="1"/>
      </rPr>
      <t>4</t>
    </r>
    <r>
      <rPr>
        <b/>
        <sz val="11"/>
        <rFont val="Times New Roman"/>
        <family val="1"/>
      </rPr>
      <t xml:space="preserve">)² </t>
    </r>
  </si>
  <si>
    <t>Observação:</t>
  </si>
  <si>
    <t>Detalhamento GMI, VLA, PIMENTA BUENO</t>
  </si>
  <si>
    <r>
      <t xml:space="preserve">Custo MENSAL por SERVENTE  AI/AE     </t>
    </r>
    <r>
      <rPr>
        <b/>
        <sz val="10"/>
        <color theme="4"/>
        <rFont val="Times New Roman"/>
        <family val="1"/>
      </rPr>
      <t>Cálculo = (A + B / 2)</t>
    </r>
  </si>
  <si>
    <t>¹ 23 é o nº de serventes estimados.</t>
  </si>
  <si>
    <t>PREÇO (R$)</t>
  </si>
  <si>
    <t>Total MENSAL DOS SERVIÇOS SEM VT (R$)</t>
  </si>
  <si>
    <t xml:space="preserve">CONFRON </t>
  </si>
  <si>
    <t>VLA</t>
  </si>
  <si>
    <t>EQUIPAMENTOS DE LIMPEZA - PREÇOS</t>
  </si>
  <si>
    <t>MATERIAIS DE LIMPEZA - PREÇOS</t>
  </si>
  <si>
    <t>QUANTIDADE ANUAL ESTIMADA POR UNIDADE</t>
  </si>
  <si>
    <t>ROOSELVT     E  BASES</t>
  </si>
  <si>
    <t>EQUIPAMENTOS DE LAVAGEM DE VEÍCULOS - PREÇOS</t>
  </si>
  <si>
    <t>COM Periculosidade</t>
  </si>
  <si>
    <t>COM Insalubridade</t>
  </si>
  <si>
    <t>20 meses</t>
  </si>
  <si>
    <t>Guajará Mirim, Vilhena e Pimenta Bueno e Postos CONFRON, DIAMANTE e BRADESCO - RO</t>
  </si>
  <si>
    <t>MATERIAIS PARA LAVAGEM DE VEÍCULOS (ITEM 2) - PREÇOS</t>
  </si>
  <si>
    <t>UNIFORMES - PREÇOS</t>
  </si>
  <si>
    <t>TOTAL p/ 60 Meses</t>
  </si>
  <si>
    <t>POSTOS DE SERVENTES sem vt (CONFRON, DIAMANTE e BRADESCO)</t>
  </si>
  <si>
    <t>PROPOSTA GLOBAL - ANEXO I-D</t>
  </si>
  <si>
    <t>Guajará-mirim e Vilhena</t>
  </si>
  <si>
    <t>SERVIÇOS DE LIMPEZA DE VEÍCULOS (ITEM 2) - ANEXO I-C</t>
  </si>
  <si>
    <t>SERVIÇOS DE LIMPEZA DAS INSTALAÇÕES (ITEM 1) - ANEXO I-C</t>
  </si>
  <si>
    <r>
      <t xml:space="preserve">Transporte   </t>
    </r>
    <r>
      <rPr>
        <b/>
        <sz val="9"/>
        <color rgb="FFFF0000"/>
        <rFont val="Times New Roman"/>
        <family val="1"/>
      </rPr>
      <t>=[(2xVTx21) – (6%xSB)]</t>
    </r>
  </si>
  <si>
    <r>
      <rPr>
        <b/>
        <sz val="11"/>
        <rFont val="Times New Roman"/>
        <family val="1"/>
      </rPr>
      <t>SERVIÇOS DE LAVAGEM DE VEÍCULOS</t>
    </r>
    <r>
      <rPr>
        <b/>
        <sz val="9"/>
        <rFont val="Times New Roman"/>
        <family val="1"/>
      </rPr>
      <t xml:space="preserve">                                                                                                                               PLANILHA DE CUSTOS E FORMAÇÃO DE PREÇOS</t>
    </r>
  </si>
  <si>
    <r>
      <rPr>
        <b/>
        <sz val="11"/>
        <rFont val="Times New Roman"/>
        <family val="1"/>
      </rPr>
      <t xml:space="preserve">SERVIÇOS DE LAVAGEM DE VEÍCULOS </t>
    </r>
    <r>
      <rPr>
        <b/>
        <sz val="9"/>
        <rFont val="Times New Roman"/>
        <family val="1"/>
      </rPr>
      <t xml:space="preserve">                                                                                                                                        PLANILHA DE CUSTOS E FORMAÇÃO DE PREÇOS</t>
    </r>
  </si>
  <si>
    <r>
      <rPr>
        <b/>
        <sz val="11"/>
        <rFont val="Times New Roman"/>
        <family val="1"/>
      </rPr>
      <t xml:space="preserve">SERVIÇOS DE LAVAGEM DE VEÍCULOS  </t>
    </r>
    <r>
      <rPr>
        <b/>
        <sz val="9"/>
        <rFont val="Times New Roman"/>
        <family val="1"/>
      </rPr>
      <t xml:space="preserve">                                                                                                                         PLANILHA DE CUSTOS E FORMAÇÃO DE PREÇOS</t>
    </r>
  </si>
  <si>
    <t>LAVADOR            GMI e VLA</t>
  </si>
  <si>
    <t>LAVADOR           GMI e VLA</t>
  </si>
  <si>
    <t>LAVADOR              JPN</t>
  </si>
  <si>
    <t>LAVADOR              PVH</t>
  </si>
  <si>
    <t>VALOR MENSAL (itens 1 e 2)</t>
  </si>
  <si>
    <t xml:space="preserve">VALOR P/ 20 MESES </t>
  </si>
  <si>
    <t>Total dos SERVIÇOS para 20 MESES</t>
  </si>
  <si>
    <t>MENSAL dos Postos</t>
  </si>
  <si>
    <t>UNITÁRIO do Posto</t>
  </si>
  <si>
    <t>VALOR DA CONTRATAÇÃO P/ 20 MESES  (Total itens 1 e 2)</t>
  </si>
  <si>
    <t>R$ Total 20 meses (m²)</t>
  </si>
  <si>
    <r>
      <t xml:space="preserve">(4) </t>
    </r>
    <r>
      <rPr>
        <sz val="12"/>
        <color indexed="8"/>
        <rFont val="Times New Roman"/>
        <family val="1"/>
      </rPr>
      <t xml:space="preserve">Deverão ser preenchidas as planilhas abaixo, as quais deverão ser apresentadas juntamente com a proposta de preços:
a) SERVENTE com vale transporte (Porto Velho) – </t>
    </r>
    <r>
      <rPr>
        <b/>
        <sz val="12"/>
        <color indexed="8"/>
        <rFont val="Times New Roman"/>
        <family val="1"/>
      </rPr>
      <t>Periculosidade</t>
    </r>
    <r>
      <rPr>
        <sz val="12"/>
        <color indexed="8"/>
        <rFont val="Times New Roman"/>
        <family val="1"/>
      </rPr>
      <t xml:space="preserve"> / </t>
    </r>
    <r>
      <rPr>
        <b/>
        <sz val="12"/>
        <color indexed="8"/>
        <rFont val="Times New Roman"/>
        <family val="1"/>
      </rPr>
      <t>Insalubridade</t>
    </r>
    <r>
      <rPr>
        <sz val="12"/>
        <color indexed="8"/>
        <rFont val="Times New Roman"/>
        <family val="1"/>
      </rPr>
      <t xml:space="preserve">;
b) SERVENTE com vale transporte (Ji-Paraná) – </t>
    </r>
    <r>
      <rPr>
        <b/>
        <sz val="12"/>
        <color indexed="8"/>
        <rFont val="Times New Roman"/>
        <family val="1"/>
      </rPr>
      <t>Periculosidade</t>
    </r>
    <r>
      <rPr>
        <sz val="12"/>
        <color indexed="8"/>
        <rFont val="Times New Roman"/>
        <family val="1"/>
      </rPr>
      <t xml:space="preserve"> / </t>
    </r>
    <r>
      <rPr>
        <b/>
        <sz val="12"/>
        <color indexed="8"/>
        <rFont val="Times New Roman"/>
        <family val="1"/>
      </rPr>
      <t>Insalubridade</t>
    </r>
    <r>
      <rPr>
        <sz val="12"/>
        <color indexed="8"/>
        <rFont val="Times New Roman"/>
        <family val="1"/>
      </rPr>
      <t xml:space="preserve">;
c) SERVENTE SEM vale transporte (GMI, P. Bueno, VLA, Pimenteiras e Bases Operacionais) - </t>
    </r>
    <r>
      <rPr>
        <b/>
        <sz val="12"/>
        <color indexed="8"/>
        <rFont val="Times New Roman"/>
        <family val="1"/>
      </rPr>
      <t>Periculosidade</t>
    </r>
    <r>
      <rPr>
        <sz val="12"/>
        <color indexed="8"/>
        <rFont val="Times New Roman"/>
        <family val="1"/>
      </rPr>
      <t xml:space="preserve"> / </t>
    </r>
    <r>
      <rPr>
        <b/>
        <sz val="12"/>
        <color indexed="8"/>
        <rFont val="Times New Roman"/>
        <family val="1"/>
      </rPr>
      <t>Insalubridade</t>
    </r>
    <r>
      <rPr>
        <sz val="12"/>
        <color indexed="8"/>
        <rFont val="Times New Roman"/>
        <family val="1"/>
      </rPr>
      <t xml:space="preserve">;                                                                                                                                                                                              d) Planilha com áreas, produtividade e valores por m² (Anexo I-B);
e) LAVADOR DE CARRO com </t>
    </r>
    <r>
      <rPr>
        <b/>
        <sz val="12"/>
        <color indexed="8"/>
        <rFont val="Times New Roman"/>
        <family val="1"/>
      </rPr>
      <t>periculosidade e vale transporte</t>
    </r>
    <r>
      <rPr>
        <sz val="12"/>
        <color indexed="8"/>
        <rFont val="Times New Roman"/>
        <family val="1"/>
      </rPr>
      <t xml:space="preserve"> (PVH);
f) LAVADOR DE CARRO com </t>
    </r>
    <r>
      <rPr>
        <b/>
        <sz val="12"/>
        <color indexed="8"/>
        <rFont val="Times New Roman"/>
        <family val="1"/>
      </rPr>
      <t>periculosidade e vale transporte</t>
    </r>
    <r>
      <rPr>
        <sz val="12"/>
        <color indexed="8"/>
        <rFont val="Times New Roman"/>
        <family val="1"/>
      </rPr>
      <t xml:space="preserve"> (Ji-Paraná);
g) LAVADOR DE CARRO com </t>
    </r>
    <r>
      <rPr>
        <b/>
        <sz val="12"/>
        <color indexed="8"/>
        <rFont val="Times New Roman"/>
        <family val="1"/>
      </rPr>
      <t>periculosidade e SEM vale transporte</t>
    </r>
    <r>
      <rPr>
        <sz val="12"/>
        <color indexed="8"/>
        <rFont val="Times New Roman"/>
        <family val="1"/>
      </rPr>
      <t xml:space="preserve"> (GMI e Vilhena);
h) Planilha de custos dos uniformes para os serventes das áreas internas / externas e lavador de veículos e;                                                                                                                                                                                                                          i) Planilhas de preços unitários e totais dos materiais/equipamentos de limpeza predial e de veículos, observado os valores máximos aceitos.
</t>
    </r>
  </si>
  <si>
    <r>
      <t>(2)</t>
    </r>
    <r>
      <rPr>
        <sz val="12"/>
        <rFont val="Times New Roman"/>
        <family val="1"/>
      </rPr>
      <t xml:space="preserve"> Em razão de Laudo Técnico Pericial  há previsão para o pagamento do </t>
    </r>
    <r>
      <rPr>
        <b/>
        <sz val="12"/>
        <rFont val="Times New Roman"/>
        <family val="1"/>
      </rPr>
      <t>ADICIONAL DE PERICULOSIDADE  de  30%</t>
    </r>
    <r>
      <rPr>
        <sz val="12"/>
        <rFont val="Times New Roman"/>
        <family val="1"/>
      </rPr>
      <t xml:space="preserve">  sobre  o  salário-base  da  categoria  para  todas  as  Unidades  de  Polícia  Federal  contempladas  neste. Relativo a higienização por servente das instalações sanitárias utilizadas pelo público em geral há previsão de  pagamento  de  40%  de  adicional  de  insalubridade sobre  o  salário  mínimo  nacional  vigente. </t>
    </r>
    <r>
      <rPr>
        <b/>
        <sz val="12"/>
        <rFont val="Times New Roman"/>
        <family val="1"/>
      </rPr>
      <t>Referidos adicionais não são cumulativos</t>
    </r>
    <r>
      <rPr>
        <sz val="12"/>
        <rFont val="Times New Roman"/>
        <family val="1"/>
      </rPr>
      <t>;</t>
    </r>
  </si>
  <si>
    <r>
      <t>(6)</t>
    </r>
    <r>
      <rPr>
        <sz val="12"/>
        <rFont val="Times New Roman"/>
        <family val="1"/>
      </rPr>
      <t xml:space="preserve"> Para o cálculo do auxílio transporte estabelecem-se:                                                                                                                                                                                                                                                                                                                                                                                                                                  a) 21 dias de trabalho/mês, jornada de 44 horas semanais;                                                                                                                                                                                                                                                                                                     b) Informar o valor da passagem praticada nos munícipios de Porto Velho e Ji-Paraná e;                                                                                                                                                                                                                                                             c) Para as demais localidades que não possuem transporte coletivo dever-se-á prever a título de reembolso com despesas mensais de transporte o valor R$ 90,00, conforme previsto na Convenção Coletiva 2018/2018 do SINTELPES.</t>
    </r>
  </si>
  <si>
    <r>
      <t xml:space="preserve">(8) </t>
    </r>
    <r>
      <rPr>
        <sz val="12"/>
        <rFont val="Times New Roman"/>
        <family val="1"/>
      </rPr>
      <t xml:space="preserve">Considerando que há previsão de retenção mensal de valores para a conta vinculada, conforme previsto na IN 05/2017 SLTI/MP deverão ser considerados os percentuais a seguir indicados: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>a)</t>
    </r>
    <r>
      <rPr>
        <sz val="12"/>
        <rFont val="Times New Roman"/>
        <family val="1"/>
      </rPr>
      <t xml:space="preserve"> Submódulo 2.1 – letra A - 8,33%;</t>
    </r>
    <r>
      <rPr>
        <b/>
        <sz val="12"/>
        <rFont val="Times New Roman"/>
        <family val="1"/>
      </rPr>
      <t xml:space="preserve"> b)</t>
    </r>
    <r>
      <rPr>
        <sz val="12"/>
        <rFont val="Times New Roman"/>
        <family val="1"/>
      </rPr>
      <t xml:space="preserve"> Submódulo 2.1 – letra B - 2,98%; </t>
    </r>
    <r>
      <rPr>
        <b/>
        <sz val="12"/>
        <rFont val="Times New Roman"/>
        <family val="1"/>
      </rPr>
      <t>c)</t>
    </r>
    <r>
      <rPr>
        <sz val="12"/>
        <rFont val="Times New Roman"/>
        <family val="1"/>
      </rPr>
      <t xml:space="preserve"> Módulo 3 – letra C - 4,35%; </t>
    </r>
    <r>
      <rPr>
        <b/>
        <sz val="12"/>
        <rFont val="Times New Roman"/>
        <family val="1"/>
      </rPr>
      <t>d)</t>
    </r>
    <r>
      <rPr>
        <sz val="12"/>
        <rFont val="Times New Roman"/>
        <family val="1"/>
      </rPr>
      <t xml:space="preserve"> Módulo 3 – letra F - 0,65% e </t>
    </r>
    <r>
      <rPr>
        <b/>
        <sz val="12"/>
        <rFont val="Times New Roman"/>
        <family val="1"/>
      </rPr>
      <t xml:space="preserve">e) </t>
    </r>
    <r>
      <rPr>
        <sz val="12"/>
        <rFont val="Times New Roman"/>
        <family val="1"/>
      </rPr>
      <t xml:space="preserve">Submódulo 4.1 - A - 9,12%. </t>
    </r>
  </si>
  <si>
    <r>
      <t>(9)</t>
    </r>
    <r>
      <rPr>
        <sz val="12"/>
        <rFont val="Times New Roman"/>
        <family val="1"/>
      </rPr>
      <t xml:space="preserve"> Observar como percentual máximo para o Módulo 3 – letra D - 1,94%;</t>
    </r>
  </si>
  <si>
    <r>
      <t>(10)</t>
    </r>
    <r>
      <rPr>
        <b/>
        <sz val="12"/>
        <color indexed="16"/>
        <rFont val="Times New Roman"/>
        <family val="1"/>
      </rPr>
      <t xml:space="preserve"> </t>
    </r>
    <r>
      <rPr>
        <sz val="12"/>
        <color indexed="8"/>
        <rFont val="Times New Roman"/>
        <family val="1"/>
      </rPr>
      <t xml:space="preserve">Em cumprimento ao disposto no </t>
    </r>
    <r>
      <rPr>
        <b/>
        <sz val="12"/>
        <color indexed="8"/>
        <rFont val="Times New Roman"/>
        <family val="1"/>
      </rPr>
      <t>Acórdão TCU 950/2007 – Plenário de 23/05/2007 não deverão ser previstos na planilha de custos os valores referentes ao</t>
    </r>
    <r>
      <rPr>
        <sz val="12"/>
        <color indexed="8"/>
        <rFont val="Times New Roman"/>
        <family val="1"/>
      </rPr>
      <t xml:space="preserve"> Imposto sobre a Renda da Pessoa Juridica (</t>
    </r>
    <r>
      <rPr>
        <b/>
        <sz val="12"/>
        <color indexed="8"/>
        <rFont val="Times New Roman"/>
        <family val="1"/>
      </rPr>
      <t>IRPJ</t>
    </r>
    <r>
      <rPr>
        <sz val="12"/>
        <color indexed="8"/>
        <rFont val="Times New Roman"/>
        <family val="1"/>
      </rPr>
      <t>) e à Contribuição Social sobre o Lucro Liquido (</t>
    </r>
    <r>
      <rPr>
        <b/>
        <sz val="12"/>
        <color indexed="8"/>
        <rFont val="Times New Roman"/>
        <family val="1"/>
      </rPr>
      <t>CSLL</t>
    </r>
    <r>
      <rPr>
        <sz val="12"/>
        <color indexed="8"/>
        <rFont val="Times New Roman"/>
        <family val="1"/>
      </rPr>
      <t xml:space="preserve">).
Quanto ao </t>
    </r>
    <r>
      <rPr>
        <b/>
        <sz val="12"/>
        <color indexed="8"/>
        <rFont val="Times New Roman"/>
        <family val="1"/>
      </rPr>
      <t>ISS</t>
    </r>
    <r>
      <rPr>
        <sz val="12"/>
        <color indexed="8"/>
        <rFont val="Times New Roman"/>
        <family val="1"/>
      </rPr>
      <t xml:space="preserve">, </t>
    </r>
    <r>
      <rPr>
        <b/>
        <sz val="12"/>
        <color indexed="8"/>
        <rFont val="Times New Roman"/>
        <family val="1"/>
      </rPr>
      <t>informar a alíquota prevista na legislação municipal onde os serviços serão prestados</t>
    </r>
    <r>
      <rPr>
        <sz val="12"/>
        <color indexed="8"/>
        <rFont val="Times New Roman"/>
        <family val="1"/>
      </rPr>
      <t xml:space="preserve">.
Na formulação da proposta, a licitante deverá observar o regime de tributação ao qual está submetida. </t>
    </r>
    <r>
      <rPr>
        <sz val="12"/>
        <color indexed="8"/>
        <rFont val="Times New Roman"/>
        <family val="1"/>
      </rPr>
      <t xml:space="preserve">
Caso a empresa seja optante do simples nacional, deverá informar as alíquotas a que está obrigada a recolher, em conformidade com o disposto na Lei Complementar 123/06.
</t>
    </r>
    <r>
      <rPr>
        <u/>
        <sz val="12"/>
        <color indexed="8"/>
        <rFont val="Times New Roman"/>
        <family val="1"/>
      </rPr>
      <t/>
    </r>
  </si>
  <si>
    <r>
      <t>(11)</t>
    </r>
    <r>
      <rPr>
        <b/>
        <sz val="12"/>
        <color indexed="16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A </t>
    </r>
    <r>
      <rPr>
        <sz val="12"/>
        <color indexed="8"/>
        <rFont val="Times New Roman"/>
        <family val="1"/>
      </rPr>
      <t>licitante, Microempresa ou Empresa de Pequeno Porte, que venha a ser contratada para a prestação de serviços mediante cessão de mão de obra, não poderá beneficiar-se da condição de optante pelo Simples Nacional, salvo as exceções previstas no § 5º-C do art. 18 da LC no 123, de 2006.</t>
    </r>
  </si>
  <si>
    <r>
      <t>(5)</t>
    </r>
    <r>
      <rPr>
        <sz val="12"/>
        <color rgb="FFFF0000"/>
        <rFont val="Times New Roman"/>
        <family val="1"/>
      </rPr>
      <t xml:space="preserve"> Para o campo do SAT (2.2 - C) deverá ser considerada a alíquota de 1%, 2% ou 3% referente ao grau de risco de acidente de trabalho incidente para a licitante. Tratando-se de empresa optante do simples, cuja alíquota do RAT na GFIP seja 0, a licitante deverá considerar para definição do RAT que constará de sua planilha de custos e formação de  preços,  o  correspondente  a  atividade  preponderante  da  empresa - RAT do CNAE preponderante, para fins de retenção para a conta vinculada;</t>
    </r>
  </si>
  <si>
    <t xml:space="preserve">Submódulo 2.1 - 13º (décimo terceiro) Salário e Adicional de Férias </t>
  </si>
  <si>
    <r>
      <t xml:space="preserve">Adicional de Férias          </t>
    </r>
    <r>
      <rPr>
        <sz val="9"/>
        <color rgb="FFFF0000"/>
        <rFont val="Times New Roman"/>
        <family val="1"/>
      </rPr>
      <t xml:space="preserve">     </t>
    </r>
    <r>
      <rPr>
        <b/>
        <sz val="9"/>
        <color rgb="FFFF0000"/>
        <rFont val="Times New Roman"/>
        <family val="1"/>
      </rPr>
      <t xml:space="preserve">  =((5/56/3)*100))</t>
    </r>
  </si>
  <si>
    <t xml:space="preserve">13º (décimo terceiro) Salário e Adicional de Férias </t>
  </si>
  <si>
    <t>Substituto nas Ausências legais</t>
  </si>
  <si>
    <t>Substituto na cobertura de Ausências legais</t>
  </si>
  <si>
    <t>Substituto na cobertura de Licença-paternidade</t>
  </si>
  <si>
    <r>
      <t xml:space="preserve">Substituto na cobertura de Ausência por acidente de trabalho                                                                                                               </t>
    </r>
    <r>
      <rPr>
        <b/>
        <sz val="9"/>
        <color rgb="FFFF0000"/>
        <rFont val="Times New Roman"/>
        <family val="1"/>
      </rPr>
      <t xml:space="preserve">Cálculo do valor={[(15dias/30)/12}x0,78%x100 </t>
    </r>
    <r>
      <rPr>
        <b/>
        <vertAlign val="superscript"/>
        <sz val="9"/>
        <color rgb="FFFF0000"/>
        <rFont val="Times New Roman"/>
        <family val="1"/>
      </rPr>
      <t>(9)</t>
    </r>
  </si>
  <si>
    <t>Substituto na cobertura de Afastamento maternidade</t>
  </si>
  <si>
    <t>Substituto na cobertura de Ausência por doença</t>
  </si>
  <si>
    <t>Substituto na cobertura de Outras asuências (especificar)</t>
  </si>
  <si>
    <t>Subsituto nas Ausências legais</t>
  </si>
  <si>
    <t>Ativo Circulante</t>
  </si>
  <si>
    <t>Passivo Circulante</t>
  </si>
  <si>
    <t>Patrimônio Líquido</t>
  </si>
  <si>
    <t>Receita Bruta</t>
  </si>
  <si>
    <t>VALOR</t>
  </si>
  <si>
    <t xml:space="preserve">Caso a diferença entre a receita bruta e o total dos contratos seja superior a 10% (dez por cento) positivo ou negativo em relação à receita bruta, o licitante deverá apresentar justificativas. </t>
  </si>
  <si>
    <t>Valor dos contratos</t>
  </si>
  <si>
    <t>Órgão</t>
  </si>
  <si>
    <t>Valor Total Global dos Contratos</t>
  </si>
  <si>
    <t>Comprovação que o licitante gerencia ou gerenciou serviços de terceirização compatíveis com o objeto licitado por período não inferior a 3 (três) anos.</t>
  </si>
  <si>
    <t>ANOS</t>
  </si>
  <si>
    <t>Data início da execução</t>
  </si>
  <si>
    <t>Data fim da execução</t>
  </si>
  <si>
    <t>TOTAL DE DIAS</t>
  </si>
  <si>
    <t>ÓRGÃO</t>
  </si>
  <si>
    <t>CONTRATO Nº</t>
  </si>
  <si>
    <t>Total Ativo</t>
  </si>
  <si>
    <t>Liquidez Geral</t>
  </si>
  <si>
    <t>Solvência Geral</t>
  </si>
  <si>
    <t>Liquidez Corrente</t>
  </si>
  <si>
    <t xml:space="preserve">QUALIFICAÇÃO ECONOMICO - FINANCEIRA </t>
  </si>
  <si>
    <t>Ativo não Circulante (Realizável lp)</t>
  </si>
  <si>
    <t>Passivo não Circulante</t>
  </si>
  <si>
    <t xml:space="preserve">Postos </t>
  </si>
  <si>
    <t>Nº</t>
  </si>
  <si>
    <r>
      <t>Substituto na cobertura de Férias</t>
    </r>
    <r>
      <rPr>
        <b/>
        <sz val="9"/>
        <color rgb="FFFF0000"/>
        <rFont val="Times New Roman"/>
        <family val="1"/>
      </rPr>
      <t xml:space="preserve"> (conta vinculada – 2,98 + 9,12 = 12,10) conforme Anexo XII da IN 5/2017</t>
    </r>
  </si>
  <si>
    <r>
      <t>Aviso-prévio indenizado</t>
    </r>
    <r>
      <rPr>
        <b/>
        <sz val="9"/>
        <color rgb="FFFF0000"/>
        <rFont val="Times New Roman"/>
        <family val="1"/>
      </rPr>
      <t xml:space="preserve">   </t>
    </r>
  </si>
  <si>
    <r>
      <t>Aviso-prévio indenizado</t>
    </r>
    <r>
      <rPr>
        <b/>
        <sz val="9"/>
        <color rgb="FFFF0000"/>
        <rFont val="Times New Roman"/>
        <family val="1"/>
      </rPr>
      <t xml:space="preserve">    </t>
    </r>
  </si>
  <si>
    <t>Nº Contrato</t>
  </si>
  <si>
    <t>VALOR TOTAL DA PROPOSTA POR EXTENSO</t>
  </si>
  <si>
    <t>Capital Circulante Liquído (CCL)</t>
  </si>
  <si>
    <t>Mínimo aceito da CCL</t>
  </si>
  <si>
    <t>PL minimo aceito</t>
  </si>
  <si>
    <t>Patrimônio Liquido (PL)</t>
  </si>
  <si>
    <r>
      <t xml:space="preserve">Valor </t>
    </r>
    <r>
      <rPr>
        <b/>
        <u/>
        <sz val="10"/>
        <rFont val="Times New Roman"/>
        <family val="1"/>
      </rPr>
      <t>ANUAL</t>
    </r>
    <r>
      <rPr>
        <b/>
        <sz val="10"/>
        <rFont val="Times New Roman"/>
        <family val="1"/>
      </rPr>
      <t xml:space="preserve"> estimado da contratação</t>
    </r>
  </si>
  <si>
    <r>
      <t>Valor Total Estimado da Contratação         (</t>
    </r>
    <r>
      <rPr>
        <b/>
        <u/>
        <sz val="10"/>
        <rFont val="Times New Roman"/>
        <family val="1"/>
      </rPr>
      <t>20 meses</t>
    </r>
    <r>
      <rPr>
        <b/>
        <sz val="10"/>
        <rFont val="Times New Roman"/>
        <family val="1"/>
      </rPr>
      <t>)</t>
    </r>
  </si>
  <si>
    <t xml:space="preserve">Capital Circulante Líquido ou Capital de Giro deverá ser de no mínimo 16,66% do valor ANUAL estimado da contratação. </t>
  </si>
  <si>
    <t>Patrimonio Líquido no mínimo de 10% do valor ANUAL estimado para contratação.</t>
  </si>
  <si>
    <t>Comprovar que o Patrimônio Líquido é igual ou superior a 1/12 (um doze avos) do valor dos contratos firmados com a administração pública e com a iniciativa privada. Esse resultado deverá ser superior a 1.</t>
  </si>
  <si>
    <t>DESCRIÇÃO E QUANTITATIVOS ESTIMADOS</t>
  </si>
  <si>
    <t xml:space="preserve"> d) Outros               </t>
  </si>
</sst>
</file>

<file path=xl/styles.xml><?xml version="1.0" encoding="utf-8"?>
<styleSheet xmlns="http://schemas.openxmlformats.org/spreadsheetml/2006/main">
  <numFmts count="17">
    <numFmt numFmtId="164" formatCode="&quot;R$ &quot;#,##0.00"/>
    <numFmt numFmtId="165" formatCode="&quot; R$ &quot;* #,##0.00\ ;&quot;-R$ &quot;* #,##0.00\ ;&quot; R$ &quot;* \-#\ ;@\ "/>
    <numFmt numFmtId="166" formatCode="0.000%"/>
    <numFmt numFmtId="167" formatCode="#,##0.00\ ;&quot; (&quot;#,##0.00\);&quot; -&quot;#\ ;@\ "/>
    <numFmt numFmtId="168" formatCode="#,##0.00\ ;\-#,##0.00\ "/>
    <numFmt numFmtId="169" formatCode="0.0000000E+00"/>
    <numFmt numFmtId="170" formatCode="0.000000"/>
    <numFmt numFmtId="171" formatCode="0.0000000"/>
    <numFmt numFmtId="172" formatCode="0.00000000"/>
    <numFmt numFmtId="173" formatCode="#,##0.0000"/>
    <numFmt numFmtId="174" formatCode="#,##0.000000000"/>
    <numFmt numFmtId="175" formatCode="0.0000%"/>
    <numFmt numFmtId="176" formatCode="0.0000"/>
    <numFmt numFmtId="177" formatCode="&quot;R$&quot;\ #,##0.00"/>
    <numFmt numFmtId="178" formatCode="#,##0.000"/>
    <numFmt numFmtId="179" formatCode="&quot; R$ &quot;* #,##0.00\ ;&quot;-R$ &quot;* #,##0.00\ ;&quot; R$ &quot;* \-#\ ;\ @\ "/>
    <numFmt numFmtId="180" formatCode="0.0"/>
  </numFmts>
  <fonts count="96">
    <font>
      <sz val="11"/>
      <color rgb="FF000000"/>
      <name val="Calibri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color rgb="FF000000"/>
      <name val="Courier New"/>
      <family val="3"/>
    </font>
    <font>
      <sz val="9"/>
      <color rgb="FF000000"/>
      <name val="Courier New"/>
      <family val="3"/>
    </font>
    <font>
      <b/>
      <sz val="9"/>
      <color rgb="FF000000"/>
      <name val="Courier New"/>
      <family val="3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b/>
      <sz val="14"/>
      <name val="Courier New"/>
      <family val="3"/>
    </font>
    <font>
      <b/>
      <sz val="11"/>
      <name val="Courier New"/>
      <family val="3"/>
    </font>
    <font>
      <b/>
      <sz val="14"/>
      <color rgb="FF000000"/>
      <name val="Courier New"/>
      <family val="3"/>
    </font>
    <font>
      <sz val="11"/>
      <name val="Courier New"/>
      <family val="3"/>
    </font>
    <font>
      <sz val="11"/>
      <color rgb="FF000000"/>
      <name val="Calibri"/>
      <family val="2"/>
    </font>
    <font>
      <b/>
      <sz val="12"/>
      <color rgb="FF00000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9"/>
      <color rgb="FF000000"/>
      <name val="Times New Roman"/>
      <family val="1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sz val="10"/>
      <name val="Times New Roman"/>
      <family val="1"/>
    </font>
    <font>
      <b/>
      <sz val="11"/>
      <color rgb="FFFF0000"/>
      <name val="Times New Roman"/>
      <family val="1"/>
    </font>
    <font>
      <b/>
      <u/>
      <sz val="11"/>
      <name val="Times New Roman"/>
      <family val="1"/>
    </font>
    <font>
      <u/>
      <sz val="9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b/>
      <u/>
      <sz val="12"/>
      <name val="Times New Roman"/>
      <family val="1"/>
    </font>
    <font>
      <sz val="12"/>
      <color rgb="FFFF0000"/>
      <name val="Times New Roman"/>
      <family val="1"/>
    </font>
    <font>
      <b/>
      <sz val="8"/>
      <color rgb="FF000000"/>
      <name val="Times New Roman"/>
      <family val="1"/>
    </font>
    <font>
      <b/>
      <sz val="10"/>
      <color theme="1"/>
      <name val="Times New Roman"/>
      <family val="1"/>
    </font>
    <font>
      <sz val="8"/>
      <name val="Times New Roman"/>
      <family val="1"/>
    </font>
    <font>
      <b/>
      <u/>
      <sz val="10"/>
      <name val="Times New Roman"/>
      <family val="1"/>
    </font>
    <font>
      <sz val="11"/>
      <color rgb="FFFF0000"/>
      <name val="Times New Roman"/>
      <family val="1"/>
    </font>
    <font>
      <b/>
      <u/>
      <sz val="11"/>
      <color rgb="FF000000"/>
      <name val="Times New Roman"/>
      <family val="1"/>
    </font>
    <font>
      <b/>
      <sz val="9"/>
      <color indexed="81"/>
      <name val="Tahoma"/>
      <family val="2"/>
    </font>
    <font>
      <sz val="9"/>
      <color rgb="FFFF0000"/>
      <name val="Times New Roman"/>
      <family val="1"/>
    </font>
    <font>
      <b/>
      <sz val="14"/>
      <name val="Times New Roman"/>
      <family val="1"/>
    </font>
    <font>
      <u/>
      <sz val="9"/>
      <color rgb="FFFF0000"/>
      <name val="Times New Roman"/>
      <family val="1"/>
    </font>
    <font>
      <b/>
      <u/>
      <sz val="9"/>
      <color rgb="FFFF0000"/>
      <name val="Times New Roman"/>
      <family val="1"/>
    </font>
    <font>
      <b/>
      <sz val="16"/>
      <color rgb="FF000000"/>
      <name val="Times New Roman"/>
      <family val="1"/>
    </font>
    <font>
      <b/>
      <u/>
      <sz val="9"/>
      <name val="Times New Roman"/>
      <family val="1"/>
    </font>
    <font>
      <sz val="9"/>
      <color theme="4" tint="-0.499984740745262"/>
      <name val="Times New Roman"/>
      <family val="1"/>
    </font>
    <font>
      <b/>
      <vertAlign val="superscript"/>
      <sz val="9"/>
      <color rgb="FFFF0000"/>
      <name val="Times New Roman"/>
      <family val="1"/>
    </font>
    <font>
      <b/>
      <sz val="12"/>
      <name val="Times New Roman"/>
      <family val="1"/>
    </font>
    <font>
      <b/>
      <sz val="14"/>
      <color rgb="FFFF0000"/>
      <name val="Times New Roman"/>
      <family val="1"/>
    </font>
    <font>
      <b/>
      <sz val="14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sz val="9"/>
      <color theme="1"/>
      <name val="Times New Roman"/>
      <family val="1"/>
    </font>
    <font>
      <b/>
      <sz val="13.5"/>
      <color rgb="FFC00000"/>
      <name val="Arial"/>
      <family val="2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color theme="0"/>
      <name val="Times New Roman"/>
      <family val="1"/>
    </font>
    <font>
      <b/>
      <u/>
      <sz val="10"/>
      <color theme="0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theme="3" tint="0.39997558519241921"/>
      <name val="Times New Roman"/>
      <family val="1"/>
    </font>
    <font>
      <sz val="9"/>
      <color theme="1"/>
      <name val="Times New Roman"/>
      <family val="1"/>
    </font>
    <font>
      <sz val="11"/>
      <name val="Arial"/>
      <family val="2"/>
    </font>
    <font>
      <sz val="12"/>
      <name val="Tahoma"/>
      <family val="2"/>
    </font>
    <font>
      <b/>
      <sz val="14"/>
      <name val="Arial"/>
      <family val="2"/>
    </font>
    <font>
      <b/>
      <sz val="10"/>
      <color indexed="16"/>
      <name val="Times New Roman"/>
      <family val="1"/>
    </font>
    <font>
      <u/>
      <sz val="10"/>
      <name val="Times New Roman"/>
      <family val="1"/>
    </font>
    <font>
      <b/>
      <sz val="18"/>
      <color theme="1"/>
      <name val="Times New Roman"/>
      <family val="1"/>
    </font>
    <font>
      <b/>
      <sz val="14"/>
      <color rgb="FF000000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6"/>
      <name val="Times New Roman"/>
      <family val="1"/>
    </font>
    <font>
      <u/>
      <sz val="12"/>
      <color indexed="8"/>
      <name val="Times New Roman"/>
      <family val="1"/>
    </font>
    <font>
      <b/>
      <sz val="12"/>
      <color rgb="FFFF0000"/>
      <name val="Times New Roman"/>
      <family val="1"/>
    </font>
    <font>
      <b/>
      <u/>
      <sz val="9"/>
      <color theme="0"/>
      <name val="Times New Roman"/>
      <family val="1"/>
    </font>
    <font>
      <sz val="9"/>
      <color indexed="81"/>
      <name val="Tahoma"/>
      <family val="2"/>
    </font>
    <font>
      <b/>
      <sz val="8"/>
      <color theme="0"/>
      <name val="Times New Roman"/>
      <family val="1"/>
    </font>
    <font>
      <sz val="9"/>
      <color rgb="FF333333"/>
      <name val="Times New Roman"/>
      <family val="1"/>
    </font>
    <font>
      <sz val="10"/>
      <color theme="1"/>
      <name val="Times New Roman"/>
      <family val="1"/>
    </font>
    <font>
      <b/>
      <u/>
      <sz val="11"/>
      <color theme="0"/>
      <name val="Times New Roman"/>
      <family val="1"/>
    </font>
    <font>
      <b/>
      <u/>
      <sz val="12"/>
      <color theme="0"/>
      <name val="Times New Roman"/>
      <family val="1"/>
    </font>
    <font>
      <sz val="10"/>
      <color rgb="FF000000"/>
      <name val="Calibri"/>
      <family val="2"/>
    </font>
    <font>
      <sz val="10"/>
      <color rgb="FFFF0000"/>
      <name val="Times New Roman"/>
      <family val="1"/>
    </font>
    <font>
      <sz val="12"/>
      <color theme="1"/>
      <name val="Times New Roman"/>
      <family val="1"/>
    </font>
    <font>
      <b/>
      <u/>
      <sz val="10"/>
      <color rgb="FF000000"/>
      <name val="Times New Roman"/>
      <family val="1"/>
    </font>
    <font>
      <b/>
      <sz val="10"/>
      <color theme="4"/>
      <name val="Times New Roman"/>
      <family val="1"/>
    </font>
    <font>
      <b/>
      <sz val="9"/>
      <color theme="4"/>
      <name val="Times New Roman"/>
      <family val="1"/>
    </font>
    <font>
      <b/>
      <sz val="8"/>
      <color theme="4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008080"/>
      <name val="Times New Roman"/>
      <family val="1"/>
    </font>
  </fonts>
  <fills count="77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FF00"/>
      </patternFill>
    </fill>
    <fill>
      <patternFill patternType="solid">
        <fgColor rgb="FF99CC00"/>
        <bgColor rgb="FFFFCC00"/>
      </patternFill>
    </fill>
    <fill>
      <patternFill patternType="solid">
        <fgColor rgb="FF00FF00"/>
        <bgColor rgb="FF33CCCC"/>
      </patternFill>
    </fill>
    <fill>
      <patternFill patternType="solid">
        <fgColor rgb="FF00B0F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00FFFF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theme="0" tint="-0.14999847407452621"/>
        <bgColor rgb="FF993300"/>
      </patternFill>
    </fill>
    <fill>
      <patternFill patternType="solid">
        <fgColor theme="0" tint="-0.14999847407452621"/>
        <bgColor rgb="FF33CCCC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FFFFCC"/>
      </patternFill>
    </fill>
    <fill>
      <patternFill patternType="solid">
        <fgColor rgb="FF00FFFF"/>
        <bgColor rgb="FFFFFFCC"/>
      </patternFill>
    </fill>
    <fill>
      <patternFill patternType="solid">
        <fgColor theme="0"/>
        <bgColor rgb="FF993300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rgb="FFFFFFCC"/>
      </patternFill>
    </fill>
    <fill>
      <patternFill patternType="solid">
        <fgColor rgb="FF66FF6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249977111117893"/>
        <bgColor rgb="FFFFFF00"/>
      </patternFill>
    </fill>
    <fill>
      <patternFill patternType="solid">
        <fgColor rgb="FFFFFF00"/>
        <bgColor rgb="FFCCCCFF"/>
      </patternFill>
    </fill>
    <fill>
      <patternFill patternType="solid">
        <fgColor rgb="FFFFFF00"/>
        <bgColor rgb="FF33CCCC"/>
      </patternFill>
    </fill>
    <fill>
      <patternFill patternType="solid">
        <fgColor theme="0"/>
        <bgColor rgb="FF33CCCC"/>
      </patternFill>
    </fill>
    <fill>
      <patternFill patternType="solid">
        <fgColor theme="9" tint="0.59999389629810485"/>
        <bgColor rgb="FFFFFFCC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CCCCFF"/>
      </patternFill>
    </fill>
    <fill>
      <patternFill patternType="solid">
        <fgColor theme="1"/>
        <bgColor rgb="FF993300"/>
      </patternFill>
    </fill>
    <fill>
      <patternFill patternType="solid">
        <fgColor theme="0"/>
        <bgColor rgb="FF00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33CCCC"/>
      </patternFill>
    </fill>
    <fill>
      <patternFill patternType="solid">
        <fgColor theme="4" tint="0.79998168889431442"/>
        <bgColor rgb="FFFFFFCC"/>
      </patternFill>
    </fill>
    <fill>
      <patternFill patternType="solid">
        <fgColor rgb="FF00FFFF"/>
        <bgColor rgb="FF00FFFF"/>
      </patternFill>
    </fill>
    <fill>
      <patternFill patternType="solid">
        <fgColor theme="0" tint="-0.249977111117893"/>
        <bgColor rgb="FFCCCCFF"/>
      </patternFill>
    </fill>
    <fill>
      <patternFill patternType="solid">
        <fgColor rgb="FFFF0000"/>
        <bgColor rgb="FF00FFFF"/>
      </patternFill>
    </fill>
    <fill>
      <patternFill patternType="solid">
        <fgColor theme="0"/>
        <bgColor rgb="FFFFCC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rgb="FFFFFFCC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rgb="FF00FFFF"/>
        <bgColor rgb="FF993300"/>
      </patternFill>
    </fill>
    <fill>
      <patternFill patternType="solid">
        <fgColor theme="9" tint="0.79998168889431442"/>
        <bgColor rgb="FFFFCC00"/>
      </patternFill>
    </fill>
    <fill>
      <patternFill patternType="solid">
        <fgColor theme="1"/>
        <bgColor rgb="FFFFCC00"/>
      </patternFill>
    </fill>
    <fill>
      <patternFill patternType="solid">
        <fgColor theme="1"/>
        <bgColor rgb="FF33CCCC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rgb="FF33CCCC"/>
      </patternFill>
    </fill>
    <fill>
      <patternFill patternType="solid">
        <fgColor theme="4" tint="0.79998168889431442"/>
        <bgColor rgb="FFFFCC00"/>
      </patternFill>
    </fill>
    <fill>
      <patternFill patternType="solid">
        <fgColor rgb="FFFFFF00"/>
        <bgColor rgb="FFFFCC00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41"/>
      </patternFill>
    </fill>
    <fill>
      <patternFill patternType="solid">
        <fgColor indexed="27"/>
        <bgColor indexed="41"/>
      </patternFill>
    </fill>
    <fill>
      <patternFill patternType="solid">
        <fgColor theme="1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D9D9D9"/>
        <bgColor rgb="FFC5E0B4"/>
      </patternFill>
    </fill>
    <fill>
      <patternFill patternType="solid">
        <fgColor theme="0"/>
        <bgColor rgb="FFC5E0B4"/>
      </patternFill>
    </fill>
    <fill>
      <patternFill patternType="solid">
        <fgColor theme="0" tint="-0.249977111117893"/>
        <bgColor rgb="FF33CCCC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FF"/>
        <bgColor rgb="FFD9D9D9"/>
      </patternFill>
    </fill>
    <fill>
      <patternFill patternType="solid">
        <fgColor theme="1"/>
        <bgColor rgb="FFD9D9D9"/>
      </patternFill>
    </fill>
    <fill>
      <patternFill patternType="solid">
        <fgColor rgb="FF33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auto="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auto="1"/>
      </bottom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5">
    <xf numFmtId="0" fontId="0" fillId="0" borderId="0"/>
    <xf numFmtId="165" fontId="12" fillId="0" borderId="0" applyBorder="0" applyAlignment="0" applyProtection="0"/>
    <xf numFmtId="0" fontId="66" fillId="0" borderId="16" applyNumberFormat="0" applyProtection="0">
      <alignment vertical="center" wrapText="1"/>
    </xf>
    <xf numFmtId="0" fontId="67" fillId="59" borderId="17">
      <alignment horizontal="center" vertical="center"/>
      <protection locked="0"/>
    </xf>
    <xf numFmtId="49" fontId="65" fillId="0" borderId="17" applyFill="0" applyProtection="0">
      <alignment horizontal="left" vertical="center" wrapText="1"/>
    </xf>
  </cellStyleXfs>
  <cellXfs count="1359">
    <xf numFmtId="0" fontId="0" fillId="0" borderId="0" xfId="0"/>
    <xf numFmtId="4" fontId="4" fillId="7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4" fillId="8" borderId="1" xfId="0" applyNumberFormat="1" applyFont="1" applyFill="1" applyBorder="1" applyAlignment="1">
      <alignment horizontal="center" vertical="top"/>
    </xf>
    <xf numFmtId="0" fontId="4" fillId="6" borderId="1" xfId="0" applyFont="1" applyFill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7" fillId="0" borderId="0" xfId="0" applyFont="1" applyAlignment="1">
      <alignment horizontal="center" vertical="top"/>
    </xf>
    <xf numFmtId="4" fontId="7" fillId="0" borderId="0" xfId="0" applyNumberFormat="1" applyFont="1" applyAlignment="1">
      <alignment horizontal="center" vertical="top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justify" vertical="top" wrapText="1"/>
    </xf>
    <xf numFmtId="0" fontId="11" fillId="5" borderId="1" xfId="0" applyFont="1" applyFill="1" applyBorder="1" applyAlignment="1">
      <alignment horizontal="center" vertical="top" wrapText="1"/>
    </xf>
    <xf numFmtId="4" fontId="7" fillId="9" borderId="1" xfId="0" applyNumberFormat="1" applyFont="1" applyFill="1" applyBorder="1" applyAlignment="1">
      <alignment horizontal="center" vertical="top"/>
    </xf>
    <xf numFmtId="4" fontId="7" fillId="5" borderId="1" xfId="1" applyNumberFormat="1" applyFont="1" applyFill="1" applyBorder="1" applyAlignment="1" applyProtection="1">
      <alignment vertical="top"/>
    </xf>
    <xf numFmtId="0" fontId="1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/>
    </xf>
    <xf numFmtId="4" fontId="7" fillId="5" borderId="1" xfId="1" applyNumberFormat="1" applyFont="1" applyFill="1" applyBorder="1" applyAlignment="1" applyProtection="1">
      <alignment horizontal="right" vertical="center"/>
    </xf>
    <xf numFmtId="0" fontId="3" fillId="5" borderId="1" xfId="0" applyFont="1" applyFill="1" applyBorder="1" applyAlignment="1">
      <alignment horizontal="justify" vertical="center"/>
    </xf>
    <xf numFmtId="4" fontId="6" fillId="5" borderId="1" xfId="1" applyNumberFormat="1" applyFont="1" applyFill="1" applyBorder="1" applyAlignment="1" applyProtection="1">
      <alignment horizontal="right" vertical="center"/>
    </xf>
    <xf numFmtId="4" fontId="7" fillId="2" borderId="2" xfId="1" applyNumberFormat="1" applyFont="1" applyFill="1" applyBorder="1" applyAlignment="1" applyProtection="1">
      <alignment horizontal="righ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" fontId="3" fillId="5" borderId="1" xfId="1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justify" vertical="top" wrapText="1"/>
    </xf>
    <xf numFmtId="0" fontId="4" fillId="7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3" fontId="4" fillId="6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Alignment="1">
      <alignment vertical="top"/>
    </xf>
    <xf numFmtId="0" fontId="4" fillId="6" borderId="2" xfId="0" applyFont="1" applyFill="1" applyBorder="1" applyAlignment="1">
      <alignment vertical="top"/>
    </xf>
    <xf numFmtId="4" fontId="4" fillId="0" borderId="1" xfId="0" applyNumberFormat="1" applyFont="1" applyBorder="1" applyAlignment="1">
      <alignment horizontal="center" vertical="top" wrapText="1"/>
    </xf>
    <xf numFmtId="0" fontId="4" fillId="6" borderId="2" xfId="0" applyFont="1" applyFill="1" applyBorder="1" applyAlignment="1">
      <alignment vertical="top" wrapText="1"/>
    </xf>
    <xf numFmtId="4" fontId="4" fillId="0" borderId="0" xfId="0" applyNumberFormat="1" applyFont="1"/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/>
    </xf>
    <xf numFmtId="0" fontId="4" fillId="8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justify" vertical="top" wrapText="1"/>
    </xf>
    <xf numFmtId="4" fontId="4" fillId="7" borderId="1" xfId="0" applyNumberFormat="1" applyFont="1" applyFill="1" applyBorder="1" applyAlignment="1">
      <alignment horizontal="center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/>
    </xf>
    <xf numFmtId="2" fontId="4" fillId="0" borderId="1" xfId="0" applyNumberFormat="1" applyFont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10" xfId="0" applyFont="1" applyFill="1" applyBorder="1" applyAlignment="1">
      <alignment horizontal="center" vertical="top"/>
    </xf>
    <xf numFmtId="4" fontId="4" fillId="2" borderId="10" xfId="0" applyNumberFormat="1" applyFont="1" applyFill="1" applyBorder="1" applyAlignment="1">
      <alignment horizontal="center" vertical="top"/>
    </xf>
    <xf numFmtId="2" fontId="4" fillId="7" borderId="1" xfId="0" applyNumberFormat="1" applyFont="1" applyFill="1" applyBorder="1" applyAlignment="1">
      <alignment horizontal="center" vertical="top" wrapText="1"/>
    </xf>
    <xf numFmtId="169" fontId="4" fillId="0" borderId="0" xfId="0" applyNumberFormat="1" applyFont="1" applyAlignment="1">
      <alignment vertical="top"/>
    </xf>
    <xf numFmtId="170" fontId="4" fillId="0" borderId="0" xfId="0" applyNumberFormat="1" applyFont="1" applyAlignment="1">
      <alignment vertical="top"/>
    </xf>
    <xf numFmtId="171" fontId="4" fillId="0" borderId="0" xfId="0" applyNumberFormat="1" applyFont="1" applyAlignment="1">
      <alignment vertical="top"/>
    </xf>
    <xf numFmtId="172" fontId="4" fillId="0" borderId="0" xfId="0" applyNumberFormat="1" applyFont="1" applyAlignment="1">
      <alignment vertical="top"/>
    </xf>
    <xf numFmtId="2" fontId="4" fillId="8" borderId="1" xfId="0" applyNumberFormat="1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7" borderId="2" xfId="0" applyFont="1" applyFill="1" applyBorder="1" applyAlignment="1">
      <alignment horizontal="center" vertical="top" wrapText="1"/>
    </xf>
    <xf numFmtId="173" fontId="4" fillId="0" borderId="1" xfId="0" applyNumberFormat="1" applyFont="1" applyBorder="1" applyAlignment="1">
      <alignment horizontal="center" vertical="top" wrapText="1"/>
    </xf>
    <xf numFmtId="174" fontId="4" fillId="2" borderId="1" xfId="0" applyNumberFormat="1" applyFont="1" applyFill="1" applyBorder="1" applyAlignment="1">
      <alignment horizontal="center" vertical="top" wrapText="1"/>
    </xf>
    <xf numFmtId="4" fontId="5" fillId="8" borderId="1" xfId="0" applyNumberFormat="1" applyFont="1" applyFill="1" applyBorder="1" applyAlignment="1">
      <alignment horizontal="center" vertical="top"/>
    </xf>
    <xf numFmtId="0" fontId="4" fillId="8" borderId="1" xfId="0" applyFont="1" applyFill="1" applyBorder="1" applyAlignment="1">
      <alignment horizontal="center" vertical="top"/>
    </xf>
    <xf numFmtId="0" fontId="19" fillId="0" borderId="0" xfId="0" applyFont="1"/>
    <xf numFmtId="0" fontId="17" fillId="30" borderId="1" xfId="0" applyFont="1" applyFill="1" applyBorder="1" applyAlignment="1">
      <alignment horizontal="center" vertical="top" wrapText="1"/>
    </xf>
    <xf numFmtId="0" fontId="17" fillId="24" borderId="1" xfId="0" applyFont="1" applyFill="1" applyBorder="1" applyAlignment="1">
      <alignment horizontal="center" vertical="top" wrapText="1"/>
    </xf>
    <xf numFmtId="0" fontId="19" fillId="0" borderId="0" xfId="0" applyFont="1" applyAlignment="1">
      <alignment vertical="top"/>
    </xf>
    <xf numFmtId="0" fontId="21" fillId="24" borderId="1" xfId="0" applyFont="1" applyFill="1" applyBorder="1" applyAlignment="1">
      <alignment horizontal="center" vertical="top" wrapText="1"/>
    </xf>
    <xf numFmtId="0" fontId="21" fillId="25" borderId="1" xfId="0" applyFont="1" applyFill="1" applyBorder="1" applyAlignment="1">
      <alignment horizontal="center" vertical="center" wrapText="1"/>
    </xf>
    <xf numFmtId="0" fontId="21" fillId="15" borderId="1" xfId="0" applyFont="1" applyFill="1" applyBorder="1" applyAlignment="1">
      <alignment horizontal="center" vertical="center" wrapText="1"/>
    </xf>
    <xf numFmtId="4" fontId="26" fillId="25" borderId="6" xfId="0" applyNumberFormat="1" applyFont="1" applyFill="1" applyBorder="1" applyAlignment="1">
      <alignment horizontal="center" vertical="center" wrapText="1"/>
    </xf>
    <xf numFmtId="0" fontId="19" fillId="25" borderId="1" xfId="0" applyFont="1" applyFill="1" applyBorder="1" applyAlignment="1">
      <alignment horizontal="center" vertical="center"/>
    </xf>
    <xf numFmtId="0" fontId="19" fillId="15" borderId="1" xfId="0" applyFont="1" applyFill="1" applyBorder="1" applyAlignment="1">
      <alignment horizontal="center" vertical="center"/>
    </xf>
    <xf numFmtId="4" fontId="26" fillId="15" borderId="6" xfId="0" applyNumberFormat="1" applyFont="1" applyFill="1" applyBorder="1" applyAlignment="1">
      <alignment horizontal="center" vertical="center" wrapText="1"/>
    </xf>
    <xf numFmtId="4" fontId="26" fillId="25" borderId="1" xfId="0" applyNumberFormat="1" applyFont="1" applyFill="1" applyBorder="1" applyAlignment="1">
      <alignment horizontal="center" vertical="center" wrapText="1"/>
    </xf>
    <xf numFmtId="4" fontId="29" fillId="33" borderId="1" xfId="1" applyNumberFormat="1" applyFont="1" applyFill="1" applyBorder="1" applyAlignment="1" applyProtection="1">
      <alignment horizontal="center" vertical="center"/>
    </xf>
    <xf numFmtId="4" fontId="30" fillId="33" borderId="1" xfId="1" applyNumberFormat="1" applyFont="1" applyFill="1" applyBorder="1" applyAlignment="1" applyProtection="1">
      <alignment horizontal="center" vertical="center"/>
    </xf>
    <xf numFmtId="4" fontId="32" fillId="33" borderId="1" xfId="1" applyNumberFormat="1" applyFont="1" applyFill="1" applyBorder="1" applyAlignment="1" applyProtection="1">
      <alignment horizontal="center" vertical="center"/>
    </xf>
    <xf numFmtId="4" fontId="33" fillId="33" borderId="1" xfId="1" applyNumberFormat="1" applyFont="1" applyFill="1" applyBorder="1" applyAlignment="1" applyProtection="1">
      <alignment horizontal="center" vertical="center"/>
    </xf>
    <xf numFmtId="0" fontId="22" fillId="20" borderId="0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4" fontId="19" fillId="0" borderId="0" xfId="0" applyNumberFormat="1" applyFont="1" applyBorder="1" applyAlignment="1">
      <alignment horizontal="left" wrapText="1"/>
    </xf>
    <xf numFmtId="4" fontId="19" fillId="0" borderId="0" xfId="0" applyNumberFormat="1" applyFont="1" applyBorder="1" applyAlignment="1">
      <alignment horizontal="center" wrapText="1"/>
    </xf>
    <xf numFmtId="0" fontId="26" fillId="0" borderId="0" xfId="0" applyFont="1"/>
    <xf numFmtId="0" fontId="19" fillId="0" borderId="0" xfId="0" applyFont="1" applyAlignment="1">
      <alignment horizontal="justify" vertical="center"/>
    </xf>
    <xf numFmtId="0" fontId="22" fillId="0" borderId="0" xfId="0" applyFont="1"/>
    <xf numFmtId="4" fontId="19" fillId="0" borderId="0" xfId="1" applyNumberFormat="1" applyFont="1" applyBorder="1" applyAlignment="1" applyProtection="1">
      <alignment horizontal="right"/>
    </xf>
    <xf numFmtId="4" fontId="19" fillId="0" borderId="0" xfId="1" applyNumberFormat="1" applyFont="1" applyBorder="1" applyAlignment="1" applyProtection="1">
      <alignment horizontal="center"/>
    </xf>
    <xf numFmtId="4" fontId="24" fillId="25" borderId="1" xfId="0" applyNumberFormat="1" applyFont="1" applyFill="1" applyBorder="1" applyAlignment="1">
      <alignment horizontal="center" vertical="center" wrapText="1"/>
    </xf>
    <xf numFmtId="4" fontId="24" fillId="15" borderId="1" xfId="0" applyNumberFormat="1" applyFont="1" applyFill="1" applyBorder="1" applyAlignment="1">
      <alignment horizontal="center" vertical="center" wrapText="1"/>
    </xf>
    <xf numFmtId="0" fontId="21" fillId="24" borderId="1" xfId="0" applyFont="1" applyFill="1" applyBorder="1" applyAlignment="1">
      <alignment horizontal="center" vertical="center" wrapText="1"/>
    </xf>
    <xf numFmtId="0" fontId="19" fillId="20" borderId="1" xfId="0" applyFont="1" applyFill="1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4" fontId="26" fillId="32" borderId="1" xfId="1" applyNumberFormat="1" applyFont="1" applyFill="1" applyBorder="1" applyAlignment="1" applyProtection="1">
      <alignment horizontal="center" vertical="center"/>
    </xf>
    <xf numFmtId="4" fontId="26" fillId="18" borderId="1" xfId="1" applyNumberFormat="1" applyFont="1" applyFill="1" applyBorder="1" applyAlignment="1" applyProtection="1">
      <alignment horizontal="center" vertical="center"/>
    </xf>
    <xf numFmtId="168" fontId="21" fillId="11" borderId="1" xfId="1" applyNumberFormat="1" applyFont="1" applyFill="1" applyBorder="1" applyAlignment="1" applyProtection="1">
      <alignment horizontal="center" vertical="center"/>
    </xf>
    <xf numFmtId="168" fontId="23" fillId="11" borderId="1" xfId="1" applyNumberFormat="1" applyFont="1" applyFill="1" applyBorder="1" applyAlignment="1" applyProtection="1">
      <alignment horizontal="center" vertical="center" wrapText="1"/>
    </xf>
    <xf numFmtId="168" fontId="21" fillId="20" borderId="1" xfId="1" applyNumberFormat="1" applyFont="1" applyFill="1" applyBorder="1" applyAlignment="1" applyProtection="1">
      <alignment horizontal="center" vertical="center"/>
    </xf>
    <xf numFmtId="168" fontId="23" fillId="20" borderId="1" xfId="1" applyNumberFormat="1" applyFont="1" applyFill="1" applyBorder="1" applyAlignment="1" applyProtection="1">
      <alignment horizontal="center" vertical="center" wrapText="1"/>
    </xf>
    <xf numFmtId="168" fontId="21" fillId="11" borderId="1" xfId="1" applyNumberFormat="1" applyFont="1" applyFill="1" applyBorder="1" applyAlignment="1" applyProtection="1">
      <alignment horizontal="center" vertical="center" wrapText="1"/>
    </xf>
    <xf numFmtId="168" fontId="21" fillId="20" borderId="1" xfId="1" applyNumberFormat="1" applyFont="1" applyFill="1" applyBorder="1" applyAlignment="1" applyProtection="1">
      <alignment horizontal="center" vertical="center" wrapText="1"/>
    </xf>
    <xf numFmtId="168" fontId="40" fillId="11" borderId="1" xfId="1" applyNumberFormat="1" applyFont="1" applyFill="1" applyBorder="1" applyAlignment="1" applyProtection="1">
      <alignment horizontal="center" vertical="center" wrapText="1"/>
    </xf>
    <xf numFmtId="0" fontId="0" fillId="20" borderId="0" xfId="0" applyFill="1"/>
    <xf numFmtId="165" fontId="19" fillId="0" borderId="0" xfId="1" applyFont="1" applyBorder="1" applyAlignment="1" applyProtection="1"/>
    <xf numFmtId="165" fontId="19" fillId="20" borderId="0" xfId="1" applyFont="1" applyFill="1" applyBorder="1" applyAlignment="1" applyProtection="1"/>
    <xf numFmtId="0" fontId="16" fillId="3" borderId="12" xfId="0" applyFont="1" applyFill="1" applyBorder="1" applyAlignment="1">
      <alignment horizontal="center" vertical="top" wrapText="1"/>
    </xf>
    <xf numFmtId="4" fontId="16" fillId="21" borderId="6" xfId="0" applyNumberFormat="1" applyFont="1" applyFill="1" applyBorder="1" applyAlignment="1">
      <alignment horizontal="center" vertical="center" wrapText="1"/>
    </xf>
    <xf numFmtId="4" fontId="26" fillId="15" borderId="1" xfId="0" applyNumberFormat="1" applyFont="1" applyFill="1" applyBorder="1" applyAlignment="1">
      <alignment horizontal="center" vertical="center" wrapText="1"/>
    </xf>
    <xf numFmtId="4" fontId="16" fillId="21" borderId="1" xfId="0" applyNumberFormat="1" applyFont="1" applyFill="1" applyBorder="1" applyAlignment="1">
      <alignment horizontal="center" vertical="center" wrapText="1"/>
    </xf>
    <xf numFmtId="4" fontId="24" fillId="15" borderId="6" xfId="0" applyNumberFormat="1" applyFont="1" applyFill="1" applyBorder="1" applyAlignment="1">
      <alignment horizontal="center" vertical="center" wrapText="1"/>
    </xf>
    <xf numFmtId="4" fontId="24" fillId="32" borderId="6" xfId="1" applyNumberFormat="1" applyFont="1" applyFill="1" applyBorder="1" applyAlignment="1" applyProtection="1">
      <alignment horizontal="center" vertical="center"/>
    </xf>
    <xf numFmtId="168" fontId="24" fillId="25" borderId="6" xfId="1" applyNumberFormat="1" applyFont="1" applyFill="1" applyBorder="1" applyAlignment="1" applyProtection="1">
      <alignment horizontal="center" vertical="center" wrapText="1"/>
    </xf>
    <xf numFmtId="4" fontId="26" fillId="32" borderId="6" xfId="1" applyNumberFormat="1" applyFont="1" applyFill="1" applyBorder="1" applyAlignment="1" applyProtection="1">
      <alignment horizontal="center" vertical="center"/>
    </xf>
    <xf numFmtId="168" fontId="26" fillId="21" borderId="1" xfId="1" applyNumberFormat="1" applyFont="1" applyFill="1" applyBorder="1" applyAlignment="1" applyProtection="1">
      <alignment horizontal="center" vertical="center" wrapText="1"/>
    </xf>
    <xf numFmtId="4" fontId="24" fillId="18" borderId="1" xfId="1" applyNumberFormat="1" applyFont="1" applyFill="1" applyBorder="1" applyAlignment="1" applyProtection="1">
      <alignment horizontal="center" vertical="center"/>
    </xf>
    <xf numFmtId="168" fontId="24" fillId="15" borderId="1" xfId="1" applyNumberFormat="1" applyFont="1" applyFill="1" applyBorder="1" applyAlignment="1" applyProtection="1">
      <alignment horizontal="center" vertical="center" wrapText="1"/>
    </xf>
    <xf numFmtId="168" fontId="24" fillId="25" borderId="1" xfId="1" applyNumberFormat="1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>
      <alignment horizontal="center" vertical="top" wrapText="1"/>
    </xf>
    <xf numFmtId="0" fontId="21" fillId="3" borderId="1" xfId="0" applyFont="1" applyFill="1" applyBorder="1" applyAlignment="1">
      <alignment horizontal="center" vertical="top" wrapText="1"/>
    </xf>
    <xf numFmtId="165" fontId="21" fillId="4" borderId="1" xfId="1" applyFont="1" applyFill="1" applyBorder="1" applyAlignment="1" applyProtection="1">
      <alignment horizontal="center" vertical="top" wrapText="1"/>
    </xf>
    <xf numFmtId="165" fontId="21" fillId="28" borderId="1" xfId="1" applyFont="1" applyFill="1" applyBorder="1" applyAlignment="1" applyProtection="1">
      <alignment horizontal="center" vertical="top" wrapText="1"/>
    </xf>
    <xf numFmtId="0" fontId="16" fillId="29" borderId="7" xfId="0" applyFont="1" applyFill="1" applyBorder="1" applyAlignment="1">
      <alignment horizontal="center" vertical="top" wrapText="1"/>
    </xf>
    <xf numFmtId="0" fontId="16" fillId="29" borderId="12" xfId="0" applyFont="1" applyFill="1" applyBorder="1" applyAlignment="1">
      <alignment horizontal="center" vertical="top" wrapText="1"/>
    </xf>
    <xf numFmtId="4" fontId="25" fillId="15" borderId="6" xfId="0" applyNumberFormat="1" applyFont="1" applyFill="1" applyBorder="1" applyAlignment="1">
      <alignment horizontal="center" vertical="center" wrapText="1"/>
    </xf>
    <xf numFmtId="4" fontId="24" fillId="32" borderId="1" xfId="1" applyNumberFormat="1" applyFont="1" applyFill="1" applyBorder="1" applyAlignment="1" applyProtection="1">
      <alignment horizontal="center" vertical="center"/>
    </xf>
    <xf numFmtId="0" fontId="34" fillId="5" borderId="0" xfId="0" applyFont="1" applyFill="1" applyBorder="1" applyAlignment="1">
      <alignment horizontal="left" vertical="center"/>
    </xf>
    <xf numFmtId="4" fontId="44" fillId="25" borderId="6" xfId="0" applyNumberFormat="1" applyFont="1" applyFill="1" applyBorder="1" applyAlignment="1">
      <alignment horizontal="center" vertical="center" wrapText="1"/>
    </xf>
    <xf numFmtId="4" fontId="44" fillId="15" borderId="1" xfId="0" applyNumberFormat="1" applyFont="1" applyFill="1" applyBorder="1" applyAlignment="1">
      <alignment horizontal="center" vertical="center" wrapText="1"/>
    </xf>
    <xf numFmtId="4" fontId="45" fillId="32" borderId="6" xfId="1" applyNumberFormat="1" applyFont="1" applyFill="1" applyBorder="1" applyAlignment="1" applyProtection="1">
      <alignment horizontal="center" vertical="center"/>
    </xf>
    <xf numFmtId="4" fontId="45" fillId="18" borderId="1" xfId="1" applyNumberFormat="1" applyFont="1" applyFill="1" applyBorder="1" applyAlignment="1" applyProtection="1">
      <alignment horizontal="center" vertical="center"/>
    </xf>
    <xf numFmtId="4" fontId="45" fillId="32" borderId="1" xfId="1" applyNumberFormat="1" applyFont="1" applyFill="1" applyBorder="1" applyAlignment="1" applyProtection="1">
      <alignment horizontal="center" vertical="center"/>
    </xf>
    <xf numFmtId="4" fontId="26" fillId="25" borderId="6" xfId="0" applyNumberFormat="1" applyFont="1" applyFill="1" applyBorder="1" applyAlignment="1">
      <alignment horizontal="center" vertical="top" wrapText="1"/>
    </xf>
    <xf numFmtId="4" fontId="16" fillId="21" borderId="6" xfId="0" applyNumberFormat="1" applyFont="1" applyFill="1" applyBorder="1" applyAlignment="1">
      <alignment horizontal="center" vertical="top" wrapText="1"/>
    </xf>
    <xf numFmtId="4" fontId="26" fillId="15" borderId="6" xfId="0" applyNumberFormat="1" applyFont="1" applyFill="1" applyBorder="1" applyAlignment="1">
      <alignment horizontal="center" vertical="top" wrapText="1"/>
    </xf>
    <xf numFmtId="4" fontId="24" fillId="25" borderId="0" xfId="1" applyNumberFormat="1" applyFont="1" applyFill="1" applyBorder="1" applyAlignment="1" applyProtection="1">
      <alignment horizontal="center" vertical="center"/>
    </xf>
    <xf numFmtId="168" fontId="24" fillId="15" borderId="1" xfId="1" applyNumberFormat="1" applyFont="1" applyFill="1" applyBorder="1" applyAlignment="1" applyProtection="1">
      <alignment horizontal="center" vertical="top" wrapText="1"/>
    </xf>
    <xf numFmtId="4" fontId="26" fillId="18" borderId="1" xfId="1" applyNumberFormat="1" applyFont="1" applyFill="1" applyBorder="1" applyAlignment="1" applyProtection="1">
      <alignment horizontal="center" vertical="top"/>
    </xf>
    <xf numFmtId="168" fontId="26" fillId="21" borderId="1" xfId="1" applyNumberFormat="1" applyFont="1" applyFill="1" applyBorder="1" applyAlignment="1" applyProtection="1">
      <alignment horizontal="center" vertical="top" wrapText="1"/>
    </xf>
    <xf numFmtId="4" fontId="26" fillId="18" borderId="6" xfId="1" applyNumberFormat="1" applyFont="1" applyFill="1" applyBorder="1" applyAlignment="1" applyProtection="1">
      <alignment horizontal="center" vertical="top"/>
    </xf>
    <xf numFmtId="4" fontId="24" fillId="32" borderId="1" xfId="1" applyNumberFormat="1" applyFont="1" applyFill="1" applyBorder="1" applyAlignment="1" applyProtection="1">
      <alignment horizontal="center" vertical="top"/>
    </xf>
    <xf numFmtId="168" fontId="24" fillId="25" borderId="1" xfId="1" applyNumberFormat="1" applyFont="1" applyFill="1" applyBorder="1" applyAlignment="1" applyProtection="1">
      <alignment horizontal="center" vertical="top" wrapText="1"/>
    </xf>
    <xf numFmtId="4" fontId="26" fillId="32" borderId="1" xfId="1" applyNumberFormat="1" applyFont="1" applyFill="1" applyBorder="1" applyAlignment="1" applyProtection="1">
      <alignment horizontal="center" vertical="top"/>
    </xf>
    <xf numFmtId="4" fontId="24" fillId="18" borderId="6" xfId="1" applyNumberFormat="1" applyFont="1" applyFill="1" applyBorder="1" applyAlignment="1" applyProtection="1">
      <alignment horizontal="center" vertical="top" wrapText="1"/>
    </xf>
    <xf numFmtId="168" fontId="24" fillId="15" borderId="6" xfId="1" applyNumberFormat="1" applyFont="1" applyFill="1" applyBorder="1" applyAlignment="1" applyProtection="1">
      <alignment horizontal="center" vertical="top" wrapText="1"/>
    </xf>
    <xf numFmtId="4" fontId="26" fillId="18" borderId="6" xfId="1" applyNumberFormat="1" applyFont="1" applyFill="1" applyBorder="1" applyAlignment="1" applyProtection="1">
      <alignment horizontal="center" vertical="top" wrapText="1"/>
    </xf>
    <xf numFmtId="165" fontId="24" fillId="28" borderId="6" xfId="1" applyFont="1" applyFill="1" applyBorder="1" applyAlignment="1" applyProtection="1">
      <alignment horizontal="center" vertical="top" wrapText="1"/>
    </xf>
    <xf numFmtId="165" fontId="26" fillId="28" borderId="6" xfId="1" applyFont="1" applyFill="1" applyBorder="1" applyAlignment="1" applyProtection="1">
      <alignment horizontal="center" vertical="top" wrapText="1"/>
    </xf>
    <xf numFmtId="165" fontId="16" fillId="29" borderId="12" xfId="1" applyFont="1" applyFill="1" applyBorder="1" applyAlignment="1" applyProtection="1">
      <alignment horizontal="center" vertical="top" wrapText="1"/>
    </xf>
    <xf numFmtId="4" fontId="26" fillId="32" borderId="1" xfId="1" applyNumberFormat="1" applyFont="1" applyFill="1" applyBorder="1" applyAlignment="1" applyProtection="1">
      <alignment horizontal="center" vertical="top" wrapText="1"/>
    </xf>
    <xf numFmtId="4" fontId="24" fillId="18" borderId="1" xfId="1" applyNumberFormat="1" applyFont="1" applyFill="1" applyBorder="1" applyAlignment="1" applyProtection="1">
      <alignment horizontal="center" vertical="top" wrapText="1"/>
    </xf>
    <xf numFmtId="0" fontId="26" fillId="28" borderId="6" xfId="0" applyFont="1" applyFill="1" applyBorder="1" applyAlignment="1">
      <alignment horizontal="center" vertical="top" wrapText="1"/>
    </xf>
    <xf numFmtId="0" fontId="26" fillId="29" borderId="6" xfId="0" applyFont="1" applyFill="1" applyBorder="1" applyAlignment="1">
      <alignment horizontal="center" vertical="top" wrapText="1"/>
    </xf>
    <xf numFmtId="0" fontId="22" fillId="20" borderId="0" xfId="0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2" fillId="0" borderId="5" xfId="0" applyFont="1" applyBorder="1" applyAlignment="1">
      <alignment vertical="top"/>
    </xf>
    <xf numFmtId="4" fontId="19" fillId="0" borderId="0" xfId="0" applyNumberFormat="1" applyFont="1"/>
    <xf numFmtId="4" fontId="24" fillId="32" borderId="1" xfId="1" applyNumberFormat="1" applyFont="1" applyFill="1" applyBorder="1" applyAlignment="1" applyProtection="1">
      <alignment horizontal="center" vertical="center"/>
    </xf>
    <xf numFmtId="4" fontId="24" fillId="25" borderId="1" xfId="1" applyNumberFormat="1" applyFont="1" applyFill="1" applyBorder="1" applyAlignment="1" applyProtection="1">
      <alignment horizontal="center" vertical="center"/>
    </xf>
    <xf numFmtId="4" fontId="23" fillId="31" borderId="1" xfId="1" applyNumberFormat="1" applyFont="1" applyFill="1" applyBorder="1" applyAlignment="1" applyProtection="1">
      <alignment horizontal="center" vertical="center"/>
    </xf>
    <xf numFmtId="4" fontId="23" fillId="12" borderId="1" xfId="1" applyNumberFormat="1" applyFont="1" applyFill="1" applyBorder="1" applyAlignment="1" applyProtection="1">
      <alignment horizontal="center" vertical="center"/>
    </xf>
    <xf numFmtId="0" fontId="19" fillId="15" borderId="1" xfId="0" applyFont="1" applyFill="1" applyBorder="1" applyAlignment="1">
      <alignment horizontal="justify" vertical="center" wrapText="1"/>
    </xf>
    <xf numFmtId="0" fontId="16" fillId="15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4" fillId="20" borderId="0" xfId="0" applyFont="1" applyFill="1" applyAlignment="1">
      <alignment vertical="center"/>
    </xf>
    <xf numFmtId="0" fontId="19" fillId="20" borderId="0" xfId="0" applyFont="1" applyFill="1" applyAlignment="1">
      <alignment vertical="center"/>
    </xf>
    <xf numFmtId="0" fontId="14" fillId="0" borderId="0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0" fontId="24" fillId="25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5" borderId="0" xfId="0" applyNumberFormat="1" applyFont="1" applyFill="1" applyBorder="1" applyAlignment="1">
      <alignment horizontal="left" vertical="center"/>
    </xf>
    <xf numFmtId="0" fontId="16" fillId="19" borderId="1" xfId="0" applyFont="1" applyFill="1" applyBorder="1" applyAlignment="1">
      <alignment horizontal="center" vertical="center"/>
    </xf>
    <xf numFmtId="0" fontId="51" fillId="0" borderId="0" xfId="0" applyFont="1"/>
    <xf numFmtId="0" fontId="17" fillId="0" borderId="0" xfId="0" applyFont="1"/>
    <xf numFmtId="0" fontId="17" fillId="0" borderId="0" xfId="0" applyFont="1" applyAlignment="1">
      <alignment horizontal="justify" vertical="top"/>
    </xf>
    <xf numFmtId="0" fontId="17" fillId="27" borderId="0" xfId="0" applyFont="1" applyFill="1" applyAlignment="1">
      <alignment horizontal="justify" vertical="top"/>
    </xf>
    <xf numFmtId="0" fontId="24" fillId="0" borderId="0" xfId="0" applyFont="1" applyAlignment="1">
      <alignment horizontal="center" vertical="center"/>
    </xf>
    <xf numFmtId="0" fontId="24" fillId="5" borderId="0" xfId="0" applyFont="1" applyFill="1" applyAlignment="1">
      <alignment vertical="center"/>
    </xf>
    <xf numFmtId="0" fontId="24" fillId="0" borderId="0" xfId="0" applyFont="1"/>
    <xf numFmtId="0" fontId="19" fillId="0" borderId="0" xfId="0" applyFont="1" applyAlignment="1">
      <alignment horizontal="center" vertical="top"/>
    </xf>
    <xf numFmtId="0" fontId="27" fillId="5" borderId="1" xfId="0" applyFont="1" applyFill="1" applyBorder="1" applyAlignment="1">
      <alignment horizontal="justify" vertical="top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/>
    </xf>
    <xf numFmtId="0" fontId="27" fillId="0" borderId="0" xfId="0" applyFont="1" applyBorder="1" applyAlignment="1" applyProtection="1">
      <alignment vertical="center"/>
      <protection locked="0"/>
    </xf>
    <xf numFmtId="0" fontId="21" fillId="0" borderId="0" xfId="0" applyFont="1"/>
    <xf numFmtId="0" fontId="52" fillId="14" borderId="0" xfId="0" applyFont="1" applyFill="1"/>
    <xf numFmtId="0" fontId="17" fillId="14" borderId="0" xfId="0" applyFont="1" applyFill="1"/>
    <xf numFmtId="0" fontId="16" fillId="3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0" fontId="17" fillId="28" borderId="1" xfId="0" applyFont="1" applyFill="1" applyBorder="1" applyAlignment="1">
      <alignment horizontal="center" vertical="center"/>
    </xf>
    <xf numFmtId="4" fontId="24" fillId="5" borderId="0" xfId="0" applyNumberFormat="1" applyFont="1" applyFill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justify" vertical="center"/>
    </xf>
    <xf numFmtId="1" fontId="18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vertical="center"/>
    </xf>
    <xf numFmtId="49" fontId="24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7" fillId="6" borderId="10" xfId="0" applyFont="1" applyFill="1" applyBorder="1" applyAlignment="1">
      <alignment vertical="center"/>
    </xf>
    <xf numFmtId="175" fontId="24" fillId="0" borderId="0" xfId="0" applyNumberFormat="1" applyFont="1" applyAlignment="1">
      <alignment vertical="center"/>
    </xf>
    <xf numFmtId="176" fontId="56" fillId="0" borderId="0" xfId="0" applyNumberFormat="1" applyFont="1"/>
    <xf numFmtId="0" fontId="24" fillId="28" borderId="3" xfId="0" applyFont="1" applyFill="1" applyBorder="1" applyAlignment="1">
      <alignment horizontal="center" vertical="center" wrapText="1"/>
    </xf>
    <xf numFmtId="0" fontId="26" fillId="25" borderId="7" xfId="0" applyFont="1" applyFill="1" applyBorder="1" applyAlignment="1">
      <alignment horizontal="center" vertical="center" wrapText="1"/>
    </xf>
    <xf numFmtId="0" fontId="26" fillId="25" borderId="1" xfId="0" applyFont="1" applyFill="1" applyBorder="1" applyAlignment="1">
      <alignment horizontal="center" vertical="center" wrapText="1"/>
    </xf>
    <xf numFmtId="4" fontId="18" fillId="28" borderId="1" xfId="0" applyNumberFormat="1" applyFont="1" applyFill="1" applyBorder="1" applyAlignment="1">
      <alignment horizontal="center" vertical="center"/>
    </xf>
    <xf numFmtId="3" fontId="16" fillId="20" borderId="1" xfId="0" applyNumberFormat="1" applyFont="1" applyFill="1" applyBorder="1" applyAlignment="1">
      <alignment horizontal="center" vertical="center"/>
    </xf>
    <xf numFmtId="171" fontId="16" fillId="20" borderId="1" xfId="0" applyNumberFormat="1" applyFont="1" applyFill="1" applyBorder="1" applyAlignment="1">
      <alignment horizontal="center" vertical="center"/>
    </xf>
    <xf numFmtId="4" fontId="20" fillId="20" borderId="1" xfId="0" applyNumberFormat="1" applyFont="1" applyFill="1" applyBorder="1" applyAlignment="1">
      <alignment horizontal="center" vertical="center"/>
    </xf>
    <xf numFmtId="4" fontId="16" fillId="28" borderId="1" xfId="0" applyNumberFormat="1" applyFont="1" applyFill="1" applyBorder="1" applyAlignment="1">
      <alignment horizontal="center" vertical="center"/>
    </xf>
    <xf numFmtId="0" fontId="16" fillId="20" borderId="1" xfId="0" applyFont="1" applyFill="1" applyBorder="1" applyAlignment="1">
      <alignment horizontal="center" vertical="center"/>
    </xf>
    <xf numFmtId="172" fontId="16" fillId="20" borderId="1" xfId="0" applyNumberFormat="1" applyFont="1" applyFill="1" applyBorder="1" applyAlignment="1">
      <alignment horizontal="center" vertical="center"/>
    </xf>
    <xf numFmtId="4" fontId="16" fillId="20" borderId="1" xfId="0" applyNumberFormat="1" applyFont="1" applyFill="1" applyBorder="1" applyAlignment="1">
      <alignment horizontal="center" vertical="center"/>
    </xf>
    <xf numFmtId="0" fontId="16" fillId="25" borderId="1" xfId="0" applyFont="1" applyFill="1" applyBorder="1" applyAlignment="1">
      <alignment horizontal="center" vertical="center"/>
    </xf>
    <xf numFmtId="4" fontId="16" fillId="45" borderId="1" xfId="0" applyNumberFormat="1" applyFont="1" applyFill="1" applyBorder="1" applyAlignment="1">
      <alignment horizontal="center" vertical="center"/>
    </xf>
    <xf numFmtId="0" fontId="24" fillId="25" borderId="0" xfId="0" applyFont="1" applyFill="1" applyAlignment="1">
      <alignment vertical="center"/>
    </xf>
    <xf numFmtId="4" fontId="18" fillId="13" borderId="1" xfId="0" applyNumberFormat="1" applyFont="1" applyFill="1" applyBorder="1" applyAlignment="1">
      <alignment horizontal="center" vertical="center"/>
    </xf>
    <xf numFmtId="3" fontId="16" fillId="19" borderId="1" xfId="0" applyNumberFormat="1" applyFont="1" applyFill="1" applyBorder="1" applyAlignment="1">
      <alignment horizontal="center" vertical="center"/>
    </xf>
    <xf numFmtId="4" fontId="20" fillId="19" borderId="1" xfId="0" applyNumberFormat="1" applyFont="1" applyFill="1" applyBorder="1" applyAlignment="1">
      <alignment horizontal="center" vertical="center"/>
    </xf>
    <xf numFmtId="4" fontId="17" fillId="28" borderId="1" xfId="0" applyNumberFormat="1" applyFont="1" applyFill="1" applyBorder="1" applyAlignment="1">
      <alignment horizontal="center" vertical="center"/>
    </xf>
    <xf numFmtId="4" fontId="17" fillId="13" borderId="1" xfId="0" applyNumberFormat="1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0" fontId="55" fillId="15" borderId="1" xfId="0" applyFont="1" applyFill="1" applyBorder="1" applyAlignment="1">
      <alignment horizontal="center" vertical="center"/>
    </xf>
    <xf numFmtId="0" fontId="24" fillId="15" borderId="1" xfId="0" applyFont="1" applyFill="1" applyBorder="1" applyAlignment="1">
      <alignment horizontal="center" vertical="center"/>
    </xf>
    <xf numFmtId="0" fontId="17" fillId="48" borderId="1" xfId="0" applyFont="1" applyFill="1" applyBorder="1" applyAlignment="1">
      <alignment horizontal="center" vertical="center"/>
    </xf>
    <xf numFmtId="1" fontId="54" fillId="35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/>
    </xf>
    <xf numFmtId="0" fontId="14" fillId="58" borderId="16" xfId="0" applyFont="1" applyFill="1" applyBorder="1" applyAlignment="1" applyProtection="1">
      <alignment horizontal="right" vertical="center" wrapText="1"/>
    </xf>
    <xf numFmtId="0" fontId="14" fillId="58" borderId="16" xfId="0" applyNumberFormat="1" applyFont="1" applyFill="1" applyBorder="1" applyAlignment="1" applyProtection="1">
      <alignment horizontal="right" vertical="center" wrapText="1"/>
    </xf>
    <xf numFmtId="0" fontId="14" fillId="58" borderId="16" xfId="0" applyFont="1" applyFill="1" applyBorder="1" applyAlignment="1" applyProtection="1">
      <alignment horizontal="right" vertical="center"/>
    </xf>
    <xf numFmtId="0" fontId="14" fillId="58" borderId="16" xfId="0" applyNumberFormat="1" applyFont="1" applyFill="1" applyBorder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 wrapText="1"/>
    </xf>
    <xf numFmtId="49" fontId="22" fillId="59" borderId="16" xfId="0" applyNumberFormat="1" applyFont="1" applyFill="1" applyBorder="1" applyAlignment="1" applyProtection="1">
      <alignment horizontal="left" vertical="center" wrapText="1"/>
      <protection locked="0"/>
    </xf>
    <xf numFmtId="0" fontId="22" fillId="59" borderId="16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 applyProtection="1">
      <alignment vertical="center"/>
    </xf>
    <xf numFmtId="0" fontId="14" fillId="0" borderId="16" xfId="0" applyFont="1" applyBorder="1" applyAlignment="1" applyProtection="1">
      <alignment vertical="center"/>
    </xf>
    <xf numFmtId="0" fontId="14" fillId="59" borderId="17" xfId="3" applyFont="1" applyAlignment="1">
      <alignment horizontal="center" vertical="center"/>
      <protection locked="0"/>
    </xf>
    <xf numFmtId="0" fontId="14" fillId="0" borderId="0" xfId="0" applyFont="1" applyBorder="1" applyAlignment="1" applyProtection="1">
      <alignment horizontal="right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justify" vertical="center" wrapText="1"/>
    </xf>
    <xf numFmtId="4" fontId="26" fillId="28" borderId="1" xfId="0" applyNumberFormat="1" applyFont="1" applyFill="1" applyBorder="1" applyAlignment="1" applyProtection="1">
      <alignment horizontal="center" vertical="center"/>
    </xf>
    <xf numFmtId="4" fontId="26" fillId="20" borderId="1" xfId="0" applyNumberFormat="1" applyFont="1" applyFill="1" applyBorder="1" applyAlignment="1" applyProtection="1">
      <alignment horizontal="center" vertical="center"/>
    </xf>
    <xf numFmtId="4" fontId="26" fillId="45" borderId="1" xfId="0" applyNumberFormat="1" applyFont="1" applyFill="1" applyBorder="1" applyAlignment="1" applyProtection="1">
      <alignment horizontal="center" vertical="center"/>
    </xf>
    <xf numFmtId="4" fontId="16" fillId="40" borderId="1" xfId="0" applyNumberFormat="1" applyFont="1" applyFill="1" applyBorder="1" applyAlignment="1" applyProtection="1">
      <alignment horizontal="center" vertical="top" wrapText="1"/>
      <protection locked="0"/>
    </xf>
    <xf numFmtId="4" fontId="26" fillId="4" borderId="1" xfId="0" applyNumberFormat="1" applyFont="1" applyFill="1" applyBorder="1" applyAlignment="1" applyProtection="1">
      <alignment horizontal="center" vertical="top"/>
    </xf>
    <xf numFmtId="4" fontId="16" fillId="4" borderId="1" xfId="0" applyNumberFormat="1" applyFont="1" applyFill="1" applyBorder="1" applyAlignment="1" applyProtection="1">
      <alignment horizontal="center" vertical="top"/>
    </xf>
    <xf numFmtId="4" fontId="26" fillId="0" borderId="1" xfId="0" applyNumberFormat="1" applyFont="1" applyBorder="1" applyAlignment="1" applyProtection="1">
      <alignment horizontal="center" vertical="top"/>
    </xf>
    <xf numFmtId="4" fontId="26" fillId="50" borderId="1" xfId="0" applyNumberFormat="1" applyFont="1" applyFill="1" applyBorder="1" applyAlignment="1" applyProtection="1">
      <alignment horizontal="center" vertical="top"/>
    </xf>
    <xf numFmtId="4" fontId="26" fillId="4" borderId="1" xfId="0" applyNumberFormat="1" applyFont="1" applyFill="1" applyBorder="1" applyAlignment="1" applyProtection="1">
      <alignment horizontal="center" vertical="top" wrapText="1"/>
    </xf>
    <xf numFmtId="4" fontId="26" fillId="56" borderId="1" xfId="0" applyNumberFormat="1" applyFont="1" applyFill="1" applyBorder="1" applyAlignment="1" applyProtection="1">
      <alignment horizontal="center" vertical="top"/>
    </xf>
    <xf numFmtId="4" fontId="26" fillId="39" borderId="1" xfId="0" applyNumberFormat="1" applyFont="1" applyFill="1" applyBorder="1" applyAlignment="1" applyProtection="1">
      <alignment horizontal="center" vertical="top"/>
    </xf>
    <xf numFmtId="4" fontId="26" fillId="55" borderId="1" xfId="0" applyNumberFormat="1" applyFont="1" applyFill="1" applyBorder="1" applyAlignment="1" applyProtection="1">
      <alignment horizontal="center" vertical="top"/>
    </xf>
    <xf numFmtId="4" fontId="16" fillId="4" borderId="1" xfId="0" applyNumberFormat="1" applyFont="1" applyFill="1" applyBorder="1" applyAlignment="1" applyProtection="1">
      <alignment horizontal="center" vertical="top" wrapText="1"/>
    </xf>
    <xf numFmtId="4" fontId="26" fillId="28" borderId="1" xfId="0" applyNumberFormat="1" applyFont="1" applyFill="1" applyBorder="1" applyAlignment="1" applyProtection="1">
      <alignment horizontal="center" vertical="top" wrapText="1"/>
    </xf>
    <xf numFmtId="4" fontId="26" fillId="0" borderId="1" xfId="0" applyNumberFormat="1" applyFont="1" applyBorder="1" applyAlignment="1" applyProtection="1">
      <alignment horizontal="center" vertical="top" wrapText="1"/>
    </xf>
    <xf numFmtId="4" fontId="26" fillId="50" borderId="1" xfId="0" applyNumberFormat="1" applyFont="1" applyFill="1" applyBorder="1" applyAlignment="1" applyProtection="1">
      <alignment horizontal="center" vertical="top" wrapText="1"/>
    </xf>
    <xf numFmtId="4" fontId="26" fillId="4" borderId="2" xfId="0" applyNumberFormat="1" applyFont="1" applyFill="1" applyBorder="1" applyAlignment="1" applyProtection="1">
      <alignment horizontal="center" vertical="top" wrapText="1"/>
    </xf>
    <xf numFmtId="4" fontId="26" fillId="39" borderId="1" xfId="0" applyNumberFormat="1" applyFont="1" applyFill="1" applyBorder="1" applyAlignment="1" applyProtection="1">
      <alignment horizontal="center" vertical="top" wrapText="1"/>
    </xf>
    <xf numFmtId="0" fontId="65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0" fillId="61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justify" vertical="top"/>
    </xf>
    <xf numFmtId="0" fontId="73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justify" vertical="top" wrapText="1"/>
    </xf>
    <xf numFmtId="0" fontId="16" fillId="40" borderId="1" xfId="0" applyFont="1" applyFill="1" applyBorder="1" applyAlignment="1" applyProtection="1">
      <alignment horizontal="center" vertical="top" wrapText="1"/>
      <protection locked="0"/>
    </xf>
    <xf numFmtId="0" fontId="16" fillId="40" borderId="2" xfId="0" applyFont="1" applyFill="1" applyBorder="1" applyAlignment="1" applyProtection="1">
      <alignment horizontal="center" vertical="top" wrapText="1"/>
      <protection locked="0"/>
    </xf>
    <xf numFmtId="0" fontId="26" fillId="40" borderId="6" xfId="0" applyFont="1" applyFill="1" applyBorder="1" applyAlignment="1" applyProtection="1">
      <alignment horizontal="center" vertical="top" wrapText="1"/>
      <protection locked="0"/>
    </xf>
    <xf numFmtId="0" fontId="26" fillId="0" borderId="0" xfId="0" applyFont="1" applyAlignment="1" applyProtection="1">
      <alignment vertical="top"/>
      <protection locked="0"/>
    </xf>
    <xf numFmtId="0" fontId="19" fillId="0" borderId="0" xfId="0" applyFont="1" applyProtection="1">
      <protection locked="0"/>
    </xf>
    <xf numFmtId="0" fontId="26" fillId="25" borderId="1" xfId="0" applyFont="1" applyFill="1" applyBorder="1" applyAlignment="1" applyProtection="1">
      <alignment horizontal="center" vertical="top"/>
      <protection locked="0"/>
    </xf>
    <xf numFmtId="0" fontId="26" fillId="12" borderId="1" xfId="0" applyFont="1" applyFill="1" applyBorder="1" applyAlignment="1" applyProtection="1">
      <alignment horizontal="center" vertical="top"/>
      <protection locked="0"/>
    </xf>
    <xf numFmtId="0" fontId="26" fillId="25" borderId="2" xfId="0" applyFont="1" applyFill="1" applyBorder="1" applyAlignment="1" applyProtection="1">
      <alignment horizontal="justify" vertical="top" wrapText="1"/>
      <protection locked="0"/>
    </xf>
    <xf numFmtId="0" fontId="26" fillId="0" borderId="1" xfId="0" applyFont="1" applyBorder="1" applyAlignment="1" applyProtection="1">
      <alignment horizontal="center" vertical="top" wrapText="1"/>
      <protection locked="0"/>
    </xf>
    <xf numFmtId="0" fontId="26" fillId="28" borderId="1" xfId="0" applyFont="1" applyFill="1" applyBorder="1" applyAlignment="1" applyProtection="1">
      <alignment horizontal="center" vertical="top" wrapText="1"/>
      <protection locked="0"/>
    </xf>
    <xf numFmtId="0" fontId="26" fillId="0" borderId="1" xfId="0" applyFont="1" applyBorder="1" applyAlignment="1" applyProtection="1">
      <alignment horizontal="center" vertical="top"/>
      <protection locked="0"/>
    </xf>
    <xf numFmtId="0" fontId="16" fillId="25" borderId="2" xfId="0" applyFont="1" applyFill="1" applyBorder="1" applyAlignment="1" applyProtection="1">
      <alignment horizontal="justify" vertical="top" wrapText="1"/>
      <protection locked="0"/>
    </xf>
    <xf numFmtId="0" fontId="26" fillId="20" borderId="1" xfId="0" applyFont="1" applyFill="1" applyBorder="1" applyAlignment="1" applyProtection="1">
      <alignment horizontal="center" vertical="top" wrapText="1"/>
      <protection locked="0"/>
    </xf>
    <xf numFmtId="3" fontId="26" fillId="0" borderId="1" xfId="0" applyNumberFormat="1" applyFont="1" applyBorder="1" applyAlignment="1" applyProtection="1">
      <alignment horizontal="center" vertical="top" wrapText="1"/>
      <protection locked="0"/>
    </xf>
    <xf numFmtId="0" fontId="26" fillId="25" borderId="2" xfId="0" applyFont="1" applyFill="1" applyBorder="1" applyAlignment="1" applyProtection="1">
      <alignment vertical="top"/>
      <protection locked="0"/>
    </xf>
    <xf numFmtId="1" fontId="26" fillId="0" borderId="1" xfId="0" applyNumberFormat="1" applyFont="1" applyBorder="1" applyAlignment="1" applyProtection="1">
      <alignment horizontal="center" vertical="top" wrapText="1"/>
      <protection locked="0"/>
    </xf>
    <xf numFmtId="0" fontId="26" fillId="25" borderId="2" xfId="0" applyFont="1" applyFill="1" applyBorder="1" applyAlignment="1" applyProtection="1">
      <alignment vertical="top" wrapText="1"/>
      <protection locked="0"/>
    </xf>
    <xf numFmtId="0" fontId="26" fillId="53" borderId="1" xfId="0" applyFont="1" applyFill="1" applyBorder="1" applyAlignment="1" applyProtection="1">
      <alignment horizontal="center" vertical="top"/>
      <protection locked="0"/>
    </xf>
    <xf numFmtId="0" fontId="26" fillId="45" borderId="1" xfId="0" applyFont="1" applyFill="1" applyBorder="1" applyAlignment="1" applyProtection="1">
      <alignment horizontal="center" vertical="top" wrapText="1"/>
      <protection locked="0"/>
    </xf>
    <xf numFmtId="0" fontId="26" fillId="40" borderId="1" xfId="0" applyFont="1" applyFill="1" applyBorder="1" applyAlignment="1" applyProtection="1">
      <alignment horizontal="center" vertical="top"/>
      <protection locked="0"/>
    </xf>
    <xf numFmtId="0" fontId="26" fillId="31" borderId="1" xfId="0" applyFont="1" applyFill="1" applyBorder="1" applyAlignment="1" applyProtection="1">
      <alignment horizontal="center" vertical="top"/>
      <protection locked="0"/>
    </xf>
    <xf numFmtId="0" fontId="26" fillId="40" borderId="2" xfId="0" applyFont="1" applyFill="1" applyBorder="1" applyAlignment="1" applyProtection="1">
      <alignment horizontal="justify" vertical="top" wrapText="1"/>
      <protection locked="0"/>
    </xf>
    <xf numFmtId="0" fontId="26" fillId="40" borderId="1" xfId="0" applyFont="1" applyFill="1" applyBorder="1" applyAlignment="1" applyProtection="1">
      <alignment horizontal="center" vertical="top" wrapText="1"/>
      <protection locked="0"/>
    </xf>
    <xf numFmtId="0" fontId="26" fillId="40" borderId="7" xfId="0" applyFont="1" applyFill="1" applyBorder="1" applyAlignment="1" applyProtection="1">
      <alignment horizontal="center" vertical="top" wrapText="1"/>
      <protection locked="0"/>
    </xf>
    <xf numFmtId="0" fontId="26" fillId="40" borderId="12" xfId="0" applyFont="1" applyFill="1" applyBorder="1" applyAlignment="1" applyProtection="1">
      <alignment horizontal="center" vertical="top" wrapText="1"/>
      <protection locked="0"/>
    </xf>
    <xf numFmtId="0" fontId="26" fillId="40" borderId="2" xfId="0" applyFont="1" applyFill="1" applyBorder="1" applyAlignment="1" applyProtection="1">
      <alignment vertical="top"/>
      <protection locked="0"/>
    </xf>
    <xf numFmtId="0" fontId="26" fillId="54" borderId="1" xfId="0" applyFont="1" applyFill="1" applyBorder="1" applyAlignment="1" applyProtection="1">
      <alignment horizontal="center" vertical="top"/>
      <protection locked="0"/>
    </xf>
    <xf numFmtId="0" fontId="64" fillId="0" borderId="1" xfId="0" applyFont="1" applyBorder="1" applyAlignment="1" applyProtection="1">
      <alignment horizontal="center" vertical="top" wrapText="1"/>
      <protection locked="0"/>
    </xf>
    <xf numFmtId="0" fontId="26" fillId="25" borderId="1" xfId="0" applyFont="1" applyFill="1" applyBorder="1" applyAlignment="1" applyProtection="1">
      <alignment horizontal="justify" vertical="top" wrapText="1"/>
      <protection locked="0"/>
    </xf>
    <xf numFmtId="0" fontId="16" fillId="40" borderId="2" xfId="0" applyFont="1" applyFill="1" applyBorder="1" applyAlignment="1" applyProtection="1">
      <alignment horizontal="justify" vertical="top" wrapText="1"/>
      <protection locked="0"/>
    </xf>
    <xf numFmtId="1" fontId="26" fillId="40" borderId="1" xfId="0" applyNumberFormat="1" applyFont="1" applyFill="1" applyBorder="1" applyAlignment="1" applyProtection="1">
      <alignment horizontal="center" vertical="top" wrapText="1"/>
      <protection locked="0"/>
    </xf>
    <xf numFmtId="3" fontId="26" fillId="40" borderId="1" xfId="0" applyNumberFormat="1" applyFont="1" applyFill="1" applyBorder="1" applyAlignment="1" applyProtection="1">
      <alignment horizontal="center" vertical="top" wrapText="1"/>
      <protection locked="0"/>
    </xf>
    <xf numFmtId="0" fontId="26" fillId="32" borderId="1" xfId="0" applyFont="1" applyFill="1" applyBorder="1" applyAlignment="1" applyProtection="1">
      <alignment horizontal="center" vertical="top"/>
      <protection locked="0"/>
    </xf>
    <xf numFmtId="0" fontId="26" fillId="32" borderId="13" xfId="0" applyFont="1" applyFill="1" applyBorder="1" applyAlignment="1" applyProtection="1">
      <alignment horizontal="justify" vertical="top" wrapText="1"/>
      <protection locked="0"/>
    </xf>
    <xf numFmtId="0" fontId="26" fillId="32" borderId="1" xfId="0" applyFont="1" applyFill="1" applyBorder="1" applyAlignment="1" applyProtection="1">
      <alignment horizontal="center" vertical="top" wrapText="1"/>
      <protection locked="0"/>
    </xf>
    <xf numFmtId="0" fontId="16" fillId="32" borderId="13" xfId="0" applyFont="1" applyFill="1" applyBorder="1" applyAlignment="1" applyProtection="1">
      <alignment horizontal="justify" vertical="top" wrapText="1"/>
      <protection locked="0"/>
    </xf>
    <xf numFmtId="0" fontId="26" fillId="32" borderId="1" xfId="0" applyFont="1" applyFill="1" applyBorder="1" applyAlignment="1" applyProtection="1">
      <alignment horizontal="justify" vertical="top" wrapText="1"/>
      <protection locked="0"/>
    </xf>
    <xf numFmtId="0" fontId="26" fillId="32" borderId="2" xfId="0" applyFont="1" applyFill="1" applyBorder="1" applyAlignment="1" applyProtection="1">
      <alignment horizontal="justify" vertical="top" wrapText="1"/>
      <protection locked="0"/>
    </xf>
    <xf numFmtId="0" fontId="26" fillId="32" borderId="2" xfId="0" applyFont="1" applyFill="1" applyBorder="1" applyAlignment="1" applyProtection="1">
      <alignment vertical="top"/>
      <protection locked="0"/>
    </xf>
    <xf numFmtId="0" fontId="26" fillId="41" borderId="1" xfId="0" applyFont="1" applyFill="1" applyBorder="1" applyAlignment="1" applyProtection="1">
      <alignment horizontal="center" vertical="top"/>
      <protection locked="0"/>
    </xf>
    <xf numFmtId="0" fontId="26" fillId="41" borderId="2" xfId="0" applyFont="1" applyFill="1" applyBorder="1" applyAlignment="1" applyProtection="1">
      <alignment horizontal="justify" vertical="top" wrapText="1"/>
      <protection locked="0"/>
    </xf>
    <xf numFmtId="0" fontId="26" fillId="39" borderId="1" xfId="0" applyFont="1" applyFill="1" applyBorder="1" applyAlignment="1" applyProtection="1">
      <alignment horizontal="center" vertical="top" wrapText="1"/>
      <protection locked="0"/>
    </xf>
    <xf numFmtId="0" fontId="26" fillId="39" borderId="1" xfId="0" applyFont="1" applyFill="1" applyBorder="1" applyAlignment="1" applyProtection="1">
      <alignment horizontal="center" vertical="top"/>
      <protection locked="0"/>
    </xf>
    <xf numFmtId="1" fontId="26" fillId="39" borderId="1" xfId="0" applyNumberFormat="1" applyFont="1" applyFill="1" applyBorder="1" applyAlignment="1" applyProtection="1">
      <alignment horizontal="center" vertical="top" wrapText="1"/>
      <protection locked="0"/>
    </xf>
    <xf numFmtId="173" fontId="26" fillId="39" borderId="1" xfId="0" applyNumberFormat="1" applyFont="1" applyFill="1" applyBorder="1" applyAlignment="1" applyProtection="1">
      <alignment horizontal="center" vertical="top" wrapText="1"/>
      <protection locked="0"/>
    </xf>
    <xf numFmtId="0" fontId="26" fillId="41" borderId="2" xfId="0" applyFont="1" applyFill="1" applyBorder="1" applyAlignment="1" applyProtection="1">
      <alignment vertical="top"/>
      <protection locked="0"/>
    </xf>
    <xf numFmtId="0" fontId="16" fillId="32" borderId="2" xfId="0" applyFont="1" applyFill="1" applyBorder="1" applyAlignment="1" applyProtection="1">
      <alignment horizontal="justify" vertical="top" wrapText="1"/>
      <protection locked="0"/>
    </xf>
    <xf numFmtId="1" fontId="26" fillId="32" borderId="1" xfId="0" applyNumberFormat="1" applyFont="1" applyFill="1" applyBorder="1" applyAlignment="1" applyProtection="1">
      <alignment horizontal="center" vertical="top" wrapText="1"/>
      <protection locked="0"/>
    </xf>
    <xf numFmtId="174" fontId="26" fillId="32" borderId="1" xfId="0" applyNumberFormat="1" applyFont="1" applyFill="1" applyBorder="1" applyAlignment="1" applyProtection="1">
      <alignment horizontal="center" vertical="top" wrapText="1"/>
      <protection locked="0"/>
    </xf>
    <xf numFmtId="174" fontId="26" fillId="40" borderId="1" xfId="0" applyNumberFormat="1" applyFont="1" applyFill="1" applyBorder="1" applyAlignment="1" applyProtection="1">
      <alignment horizontal="center" vertical="top" wrapText="1"/>
      <protection locked="0"/>
    </xf>
    <xf numFmtId="4" fontId="26" fillId="0" borderId="0" xfId="0" applyNumberFormat="1" applyFont="1" applyAlignment="1" applyProtection="1">
      <alignment vertical="top"/>
      <protection locked="0"/>
    </xf>
    <xf numFmtId="4" fontId="61" fillId="51" borderId="1" xfId="0" applyNumberFormat="1" applyFont="1" applyFill="1" applyBorder="1" applyAlignment="1" applyProtection="1">
      <alignment horizontal="center" vertical="top"/>
      <protection locked="0"/>
    </xf>
    <xf numFmtId="0" fontId="62" fillId="51" borderId="1" xfId="0" applyFont="1" applyFill="1" applyBorder="1" applyAlignment="1" applyProtection="1">
      <alignment horizontal="center" vertical="top" wrapText="1"/>
      <protection locked="0"/>
    </xf>
    <xf numFmtId="0" fontId="62" fillId="51" borderId="1" xfId="0" applyFont="1" applyFill="1" applyBorder="1" applyAlignment="1" applyProtection="1">
      <alignment horizontal="center" vertical="top"/>
      <protection locked="0"/>
    </xf>
    <xf numFmtId="0" fontId="26" fillId="0" borderId="0" xfId="0" applyFont="1" applyBorder="1" applyAlignment="1" applyProtection="1">
      <alignment horizontal="center" vertical="top"/>
      <protection locked="0"/>
    </xf>
    <xf numFmtId="0" fontId="26" fillId="0" borderId="0" xfId="0" applyFont="1" applyBorder="1" applyAlignment="1" applyProtection="1">
      <alignment vertical="top"/>
      <protection locked="0"/>
    </xf>
    <xf numFmtId="4" fontId="26" fillId="0" borderId="0" xfId="0" applyNumberFormat="1" applyFont="1" applyBorder="1" applyAlignment="1" applyProtection="1">
      <alignment horizontal="center" vertical="top"/>
      <protection locked="0"/>
    </xf>
    <xf numFmtId="0" fontId="26" fillId="0" borderId="0" xfId="0" applyFont="1" applyBorder="1" applyAlignment="1" applyProtection="1">
      <alignment horizontal="center" vertical="top" wrapText="1"/>
      <protection locked="0"/>
    </xf>
    <xf numFmtId="4" fontId="26" fillId="0" borderId="0" xfId="0" applyNumberFormat="1" applyFont="1" applyAlignment="1" applyProtection="1">
      <alignment horizontal="center" vertical="top"/>
      <protection locked="0"/>
    </xf>
    <xf numFmtId="0" fontId="26" fillId="0" borderId="0" xfId="0" applyFont="1" applyAlignment="1" applyProtection="1">
      <alignment horizontal="center" vertical="top" wrapText="1"/>
      <protection locked="0"/>
    </xf>
    <xf numFmtId="4" fontId="26" fillId="6" borderId="1" xfId="0" applyNumberFormat="1" applyFont="1" applyFill="1" applyBorder="1" applyAlignment="1" applyProtection="1">
      <alignment horizontal="center" vertical="top"/>
      <protection locked="0"/>
    </xf>
    <xf numFmtId="0" fontId="26" fillId="6" borderId="1" xfId="0" applyFont="1" applyFill="1" applyBorder="1" applyAlignment="1" applyProtection="1">
      <alignment horizontal="center" vertical="top" wrapText="1"/>
      <protection locked="0"/>
    </xf>
    <xf numFmtId="0" fontId="26" fillId="6" borderId="1" xfId="0" applyFont="1" applyFill="1" applyBorder="1" applyAlignment="1" applyProtection="1">
      <alignment horizontal="center" vertical="top"/>
      <protection locked="0"/>
    </xf>
    <xf numFmtId="3" fontId="26" fillId="6" borderId="1" xfId="0" applyNumberFormat="1" applyFont="1" applyFill="1" applyBorder="1" applyAlignment="1" applyProtection="1">
      <alignment horizontal="center" vertical="top" wrapText="1"/>
      <protection locked="0"/>
    </xf>
    <xf numFmtId="4" fontId="26" fillId="16" borderId="1" xfId="0" applyNumberFormat="1" applyFont="1" applyFill="1" applyBorder="1" applyAlignment="1" applyProtection="1">
      <alignment horizontal="center" vertical="top"/>
      <protection locked="0"/>
    </xf>
    <xf numFmtId="0" fontId="26" fillId="16" borderId="1" xfId="0" applyFont="1" applyFill="1" applyBorder="1" applyAlignment="1" applyProtection="1">
      <alignment horizontal="center" vertical="top" wrapText="1"/>
      <protection locked="0"/>
    </xf>
    <xf numFmtId="0" fontId="26" fillId="16" borderId="1" xfId="0" applyFont="1" applyFill="1" applyBorder="1" applyAlignment="1" applyProtection="1">
      <alignment horizontal="center" vertical="top"/>
      <protection locked="0"/>
    </xf>
    <xf numFmtId="0" fontId="26" fillId="0" borderId="0" xfId="0" applyFont="1" applyFill="1" applyBorder="1" applyAlignment="1" applyProtection="1">
      <alignment horizontal="justify" vertical="top" wrapText="1"/>
      <protection locked="0"/>
    </xf>
    <xf numFmtId="0" fontId="26" fillId="0" borderId="0" xfId="0" applyFont="1" applyFill="1" applyBorder="1" applyAlignment="1" applyProtection="1">
      <alignment horizontal="center" vertical="top" wrapText="1"/>
      <protection locked="0"/>
    </xf>
    <xf numFmtId="3" fontId="26" fillId="16" borderId="1" xfId="0" applyNumberFormat="1" applyFont="1" applyFill="1" applyBorder="1" applyAlignment="1" applyProtection="1">
      <alignment horizontal="center" vertical="top" wrapText="1"/>
      <protection locked="0"/>
    </xf>
    <xf numFmtId="4" fontId="26" fillId="0" borderId="0" xfId="0" applyNumberFormat="1" applyFont="1" applyAlignment="1" applyProtection="1">
      <alignment horizontal="center" vertical="top" wrapText="1"/>
      <protection locked="0"/>
    </xf>
    <xf numFmtId="1" fontId="26" fillId="0" borderId="0" xfId="0" applyNumberFormat="1" applyFont="1" applyFill="1" applyBorder="1" applyAlignment="1" applyProtection="1">
      <alignment horizontal="center" vertical="top" wrapText="1"/>
      <protection locked="0"/>
    </xf>
    <xf numFmtId="4" fontId="26" fillId="16" borderId="7" xfId="0" applyNumberFormat="1" applyFont="1" applyFill="1" applyBorder="1" applyAlignment="1" applyProtection="1">
      <alignment horizontal="center" vertical="top"/>
      <protection locked="0"/>
    </xf>
    <xf numFmtId="0" fontId="26" fillId="16" borderId="7" xfId="0" applyFont="1" applyFill="1" applyBorder="1" applyAlignment="1" applyProtection="1">
      <alignment horizontal="center" vertical="top" wrapText="1"/>
      <protection locked="0"/>
    </xf>
    <xf numFmtId="0" fontId="26" fillId="16" borderId="7" xfId="0" applyFont="1" applyFill="1" applyBorder="1" applyAlignment="1" applyProtection="1">
      <alignment horizontal="center" vertical="top"/>
      <protection locked="0"/>
    </xf>
    <xf numFmtId="4" fontId="16" fillId="40" borderId="1" xfId="0" applyNumberFormat="1" applyFont="1" applyFill="1" applyBorder="1" applyAlignment="1" applyProtection="1">
      <alignment horizontal="center" vertical="top"/>
      <protection locked="0"/>
    </xf>
    <xf numFmtId="4" fontId="26" fillId="0" borderId="0" xfId="0" applyNumberFormat="1" applyFont="1" applyBorder="1" applyAlignment="1" applyProtection="1">
      <alignment horizontal="center" vertical="top" wrapText="1"/>
      <protection locked="0"/>
    </xf>
    <xf numFmtId="4" fontId="26" fillId="40" borderId="3" xfId="0" applyNumberFormat="1" applyFont="1" applyFill="1" applyBorder="1" applyAlignment="1" applyProtection="1">
      <alignment vertical="top"/>
      <protection locked="0"/>
    </xf>
    <xf numFmtId="0" fontId="26" fillId="40" borderId="10" xfId="0" applyFont="1" applyFill="1" applyBorder="1" applyAlignment="1" applyProtection="1">
      <alignment horizontal="center" vertical="top"/>
      <protection locked="0"/>
    </xf>
    <xf numFmtId="4" fontId="26" fillId="40" borderId="10" xfId="0" applyNumberFormat="1" applyFont="1" applyFill="1" applyBorder="1" applyAlignment="1" applyProtection="1">
      <alignment horizontal="center" vertical="top"/>
      <protection locked="0"/>
    </xf>
    <xf numFmtId="3" fontId="26" fillId="0" borderId="0" xfId="0" applyNumberFormat="1" applyFont="1" applyFill="1" applyBorder="1" applyAlignment="1" applyProtection="1">
      <alignment horizontal="center" vertical="top" wrapText="1"/>
      <protection locked="0"/>
    </xf>
    <xf numFmtId="0" fontId="26" fillId="0" borderId="0" xfId="0" applyFont="1" applyAlignment="1" applyProtection="1">
      <alignment horizontal="center" vertical="top"/>
      <protection locked="0"/>
    </xf>
    <xf numFmtId="0" fontId="26" fillId="0" borderId="0" xfId="0" applyFont="1" applyFill="1" applyBorder="1" applyAlignment="1" applyProtection="1">
      <alignment vertical="top"/>
      <protection locked="0"/>
    </xf>
    <xf numFmtId="2" fontId="26" fillId="0" borderId="0" xfId="0" applyNumberFormat="1" applyFont="1" applyFill="1" applyBorder="1" applyAlignment="1" applyProtection="1">
      <alignment horizontal="center" vertical="top"/>
      <protection locked="0"/>
    </xf>
    <xf numFmtId="0" fontId="2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35" fillId="16" borderId="1" xfId="0" applyFont="1" applyFill="1" applyBorder="1" applyAlignment="1" applyProtection="1">
      <alignment horizontal="center" vertical="top" wrapText="1"/>
      <protection locked="0"/>
    </xf>
    <xf numFmtId="0" fontId="16" fillId="16" borderId="2" xfId="0" applyFont="1" applyFill="1" applyBorder="1" applyAlignment="1" applyProtection="1">
      <alignment horizontal="center" vertical="top" wrapText="1"/>
      <protection locked="0"/>
    </xf>
    <xf numFmtId="0" fontId="16" fillId="16" borderId="1" xfId="0" applyFont="1" applyFill="1" applyBorder="1" applyAlignment="1" applyProtection="1">
      <alignment horizontal="center" vertical="top" wrapText="1"/>
      <protection locked="0"/>
    </xf>
    <xf numFmtId="0" fontId="16" fillId="16" borderId="2" xfId="0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18" fillId="0" borderId="1" xfId="0" applyFont="1" applyBorder="1" applyAlignment="1">
      <alignment horizontal="center" vertical="center" wrapText="1"/>
    </xf>
    <xf numFmtId="177" fontId="18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48" borderId="1" xfId="0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66" fontId="17" fillId="38" borderId="21" xfId="0" applyNumberFormat="1" applyFont="1" applyFill="1" applyBorder="1" applyAlignment="1">
      <alignment horizontal="center" vertical="center"/>
    </xf>
    <xf numFmtId="166" fontId="55" fillId="44" borderId="21" xfId="0" applyNumberFormat="1" applyFont="1" applyFill="1" applyBorder="1" applyAlignment="1">
      <alignment horizontal="center" vertical="center"/>
    </xf>
    <xf numFmtId="166" fontId="17" fillId="25" borderId="21" xfId="0" applyNumberFormat="1" applyFont="1" applyFill="1" applyBorder="1" applyAlignment="1">
      <alignment horizontal="center" vertical="center"/>
    </xf>
    <xf numFmtId="0" fontId="55" fillId="15" borderId="7" xfId="0" applyFont="1" applyFill="1" applyBorder="1" applyAlignment="1">
      <alignment horizontal="center" vertical="center"/>
    </xf>
    <xf numFmtId="4" fontId="61" fillId="35" borderId="26" xfId="0" applyNumberFormat="1" applyFont="1" applyFill="1" applyBorder="1" applyAlignment="1">
      <alignment horizontal="right" vertical="center"/>
    </xf>
    <xf numFmtId="4" fontId="61" fillId="35" borderId="27" xfId="0" applyNumberFormat="1" applyFont="1" applyFill="1" applyBorder="1" applyAlignment="1">
      <alignment horizontal="right" vertical="center"/>
    </xf>
    <xf numFmtId="177" fontId="18" fillId="0" borderId="21" xfId="0" applyNumberFormat="1" applyFont="1" applyBorder="1" applyAlignment="1">
      <alignment horizontal="center" vertical="center"/>
    </xf>
    <xf numFmtId="4" fontId="18" fillId="0" borderId="21" xfId="0" applyNumberFormat="1" applyFont="1" applyBorder="1" applyAlignment="1">
      <alignment horizontal="center" vertical="center"/>
    </xf>
    <xf numFmtId="0" fontId="17" fillId="15" borderId="7" xfId="0" applyFont="1" applyFill="1" applyBorder="1" applyAlignment="1">
      <alignment horizontal="center" vertical="center"/>
    </xf>
    <xf numFmtId="0" fontId="24" fillId="0" borderId="6" xfId="0" applyFont="1" applyBorder="1" applyAlignment="1">
      <alignment vertical="center"/>
    </xf>
    <xf numFmtId="4" fontId="61" fillId="35" borderId="25" xfId="0" applyNumberFormat="1" applyFont="1" applyFill="1" applyBorder="1" applyAlignment="1">
      <alignment horizontal="right" vertical="center"/>
    </xf>
    <xf numFmtId="4" fontId="61" fillId="47" borderId="25" xfId="0" applyNumberFormat="1" applyFont="1" applyFill="1" applyBorder="1" applyAlignment="1">
      <alignment horizontal="right" vertical="center"/>
    </xf>
    <xf numFmtId="166" fontId="17" fillId="42" borderId="21" xfId="0" applyNumberFormat="1" applyFont="1" applyFill="1" applyBorder="1" applyAlignment="1">
      <alignment horizontal="center" vertical="center"/>
    </xf>
    <xf numFmtId="166" fontId="17" fillId="0" borderId="21" xfId="0" applyNumberFormat="1" applyFont="1" applyBorder="1" applyAlignment="1">
      <alignment horizontal="center" vertical="center"/>
    </xf>
    <xf numFmtId="10" fontId="17" fillId="25" borderId="21" xfId="0" applyNumberFormat="1" applyFont="1" applyFill="1" applyBorder="1" applyAlignment="1">
      <alignment horizontal="center" vertical="center"/>
    </xf>
    <xf numFmtId="14" fontId="61" fillId="35" borderId="25" xfId="0" applyNumberFormat="1" applyFont="1" applyFill="1" applyBorder="1" applyAlignment="1">
      <alignment horizontal="center" vertical="center"/>
    </xf>
    <xf numFmtId="0" fontId="61" fillId="35" borderId="25" xfId="0" applyFont="1" applyFill="1" applyBorder="1" applyAlignment="1">
      <alignment horizontal="center" vertical="center"/>
    </xf>
    <xf numFmtId="1" fontId="54" fillId="35" borderId="25" xfId="0" applyNumberFormat="1" applyFont="1" applyFill="1" applyBorder="1" applyAlignment="1">
      <alignment horizontal="center" vertical="top" wrapText="1"/>
    </xf>
    <xf numFmtId="164" fontId="61" fillId="35" borderId="25" xfId="0" applyNumberFormat="1" applyFont="1" applyFill="1" applyBorder="1" applyAlignment="1">
      <alignment horizontal="center" vertical="center" wrapText="1"/>
    </xf>
    <xf numFmtId="1" fontId="61" fillId="35" borderId="25" xfId="0" applyNumberFormat="1" applyFont="1" applyFill="1" applyBorder="1" applyAlignment="1">
      <alignment horizontal="right" vertical="center"/>
    </xf>
    <xf numFmtId="0" fontId="17" fillId="15" borderId="21" xfId="0" applyFont="1" applyFill="1" applyBorder="1" applyAlignment="1">
      <alignment horizontal="center" vertical="center"/>
    </xf>
    <xf numFmtId="10" fontId="17" fillId="0" borderId="21" xfId="0" applyNumberFormat="1" applyFont="1" applyBorder="1" applyAlignment="1">
      <alignment horizontal="center" vertical="center"/>
    </xf>
    <xf numFmtId="0" fontId="61" fillId="47" borderId="25" xfId="0" applyFont="1" applyFill="1" applyBorder="1" applyAlignment="1">
      <alignment horizontal="center" vertical="center"/>
    </xf>
    <xf numFmtId="4" fontId="61" fillId="35" borderId="25" xfId="0" applyNumberFormat="1" applyFont="1" applyFill="1" applyBorder="1" applyAlignment="1">
      <alignment vertical="center"/>
    </xf>
    <xf numFmtId="4" fontId="61" fillId="47" borderId="25" xfId="0" applyNumberFormat="1" applyFont="1" applyFill="1" applyBorder="1" applyAlignment="1">
      <alignment vertical="center"/>
    </xf>
    <xf numFmtId="4" fontId="16" fillId="23" borderId="21" xfId="1" applyNumberFormat="1" applyFont="1" applyFill="1" applyBorder="1" applyAlignment="1" applyProtection="1">
      <alignment horizontal="center" vertical="center"/>
    </xf>
    <xf numFmtId="4" fontId="16" fillId="49" borderId="21" xfId="1" applyNumberFormat="1" applyFont="1" applyFill="1" applyBorder="1" applyAlignment="1" applyProtection="1">
      <alignment horizontal="center" vertical="center"/>
    </xf>
    <xf numFmtId="0" fontId="16" fillId="43" borderId="7" xfId="0" applyFont="1" applyFill="1" applyBorder="1" applyAlignment="1">
      <alignment horizontal="center" vertical="top" wrapText="1"/>
    </xf>
    <xf numFmtId="4" fontId="61" fillId="47" borderId="25" xfId="1" applyNumberFormat="1" applyFont="1" applyFill="1" applyBorder="1" applyAlignment="1" applyProtection="1">
      <alignment horizontal="center" vertical="center"/>
    </xf>
    <xf numFmtId="10" fontId="17" fillId="20" borderId="21" xfId="0" applyNumberFormat="1" applyFont="1" applyFill="1" applyBorder="1" applyAlignment="1">
      <alignment horizontal="center" vertical="center"/>
    </xf>
    <xf numFmtId="10" fontId="63" fillId="20" borderId="21" xfId="0" applyNumberFormat="1" applyFont="1" applyFill="1" applyBorder="1" applyAlignment="1">
      <alignment horizontal="center" vertical="center"/>
    </xf>
    <xf numFmtId="12" fontId="17" fillId="0" borderId="21" xfId="0" applyNumberFormat="1" applyFont="1" applyBorder="1" applyAlignment="1">
      <alignment horizontal="center" vertical="center"/>
    </xf>
    <xf numFmtId="10" fontId="18" fillId="0" borderId="21" xfId="0" applyNumberFormat="1" applyFont="1" applyBorder="1" applyAlignment="1">
      <alignment horizontal="center" vertical="center"/>
    </xf>
    <xf numFmtId="4" fontId="17" fillId="15" borderId="7" xfId="0" applyNumberFormat="1" applyFont="1" applyFill="1" applyBorder="1" applyAlignment="1">
      <alignment horizontal="center" vertical="center"/>
    </xf>
    <xf numFmtId="0" fontId="24" fillId="20" borderId="6" xfId="0" applyFont="1" applyFill="1" applyBorder="1" applyAlignment="1">
      <alignment vertical="center"/>
    </xf>
    <xf numFmtId="4" fontId="17" fillId="6" borderId="6" xfId="0" applyNumberFormat="1" applyFont="1" applyFill="1" applyBorder="1" applyAlignment="1">
      <alignment horizontal="right" vertical="center"/>
    </xf>
    <xf numFmtId="4" fontId="17" fillId="41" borderId="6" xfId="0" applyNumberFormat="1" applyFont="1" applyFill="1" applyBorder="1" applyAlignment="1">
      <alignment horizontal="right" vertical="center"/>
    </xf>
    <xf numFmtId="166" fontId="17" fillId="20" borderId="21" xfId="0" applyNumberFormat="1" applyFont="1" applyFill="1" applyBorder="1" applyAlignment="1">
      <alignment horizontal="center" vertical="center"/>
    </xf>
    <xf numFmtId="166" fontId="17" fillId="28" borderId="21" xfId="0" applyNumberFormat="1" applyFont="1" applyFill="1" applyBorder="1" applyAlignment="1">
      <alignment horizontal="center" vertical="center"/>
    </xf>
    <xf numFmtId="166" fontId="17" fillId="13" borderId="21" xfId="0" applyNumberFormat="1" applyFont="1" applyFill="1" applyBorder="1" applyAlignment="1">
      <alignment horizontal="center" vertical="center"/>
    </xf>
    <xf numFmtId="4" fontId="58" fillId="47" borderId="25" xfId="0" applyNumberFormat="1" applyFont="1" applyFill="1" applyBorder="1" applyAlignment="1">
      <alignment horizontal="right" vertical="center"/>
    </xf>
    <xf numFmtId="39" fontId="54" fillId="47" borderId="25" xfId="0" applyNumberFormat="1" applyFont="1" applyFill="1" applyBorder="1" applyAlignment="1">
      <alignment horizontal="center" vertical="center"/>
    </xf>
    <xf numFmtId="0" fontId="61" fillId="35" borderId="25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28" borderId="21" xfId="0" applyFont="1" applyFill="1" applyBorder="1" applyAlignment="1">
      <alignment horizontal="center" vertical="center"/>
    </xf>
    <xf numFmtId="0" fontId="17" fillId="48" borderId="7" xfId="0" applyFont="1" applyFill="1" applyBorder="1" applyAlignment="1">
      <alignment horizontal="center" vertical="center"/>
    </xf>
    <xf numFmtId="4" fontId="61" fillId="62" borderId="25" xfId="0" applyNumberFormat="1" applyFont="1" applyFill="1" applyBorder="1" applyAlignment="1">
      <alignment horizontal="right" vertical="center"/>
    </xf>
    <xf numFmtId="4" fontId="59" fillId="47" borderId="6" xfId="0" applyNumberFormat="1" applyFont="1" applyFill="1" applyBorder="1" applyAlignment="1">
      <alignment horizontal="right" vertical="center"/>
    </xf>
    <xf numFmtId="0" fontId="16" fillId="3" borderId="21" xfId="0" applyFont="1" applyFill="1" applyBorder="1" applyAlignment="1">
      <alignment horizontal="center" vertical="top" wrapText="1"/>
    </xf>
    <xf numFmtId="0" fontId="61" fillId="36" borderId="25" xfId="0" applyFont="1" applyFill="1" applyBorder="1" applyAlignment="1">
      <alignment horizontal="center" vertical="top" wrapText="1"/>
    </xf>
    <xf numFmtId="4" fontId="61" fillId="35" borderId="25" xfId="0" applyNumberFormat="1" applyFont="1" applyFill="1" applyBorder="1" applyAlignment="1">
      <alignment horizontal="center" vertical="center"/>
    </xf>
    <xf numFmtId="39" fontId="57" fillId="47" borderId="25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vertical="center"/>
    </xf>
    <xf numFmtId="0" fontId="17" fillId="6" borderId="0" xfId="0" applyFont="1" applyFill="1" applyBorder="1" applyAlignment="1">
      <alignment vertical="center"/>
    </xf>
    <xf numFmtId="1" fontId="61" fillId="35" borderId="25" xfId="0" applyNumberFormat="1" applyFont="1" applyFill="1" applyBorder="1" applyAlignment="1">
      <alignment horizontal="center" vertical="center"/>
    </xf>
    <xf numFmtId="164" fontId="61" fillId="35" borderId="25" xfId="0" applyNumberFormat="1" applyFont="1" applyFill="1" applyBorder="1" applyAlignment="1">
      <alignment horizontal="center" vertical="center"/>
    </xf>
    <xf numFmtId="14" fontId="61" fillId="36" borderId="25" xfId="0" applyNumberFormat="1" applyFont="1" applyFill="1" applyBorder="1" applyAlignment="1">
      <alignment horizontal="center" vertical="center"/>
    </xf>
    <xf numFmtId="0" fontId="17" fillId="47" borderId="25" xfId="0" applyFont="1" applyFill="1" applyBorder="1" applyAlignment="1">
      <alignment horizontal="center" vertical="center"/>
    </xf>
    <xf numFmtId="4" fontId="17" fillId="35" borderId="25" xfId="0" applyNumberFormat="1" applyFont="1" applyFill="1" applyBorder="1" applyAlignment="1">
      <alignment horizontal="right" vertical="center"/>
    </xf>
    <xf numFmtId="4" fontId="17" fillId="47" borderId="25" xfId="0" applyNumberFormat="1" applyFont="1" applyFill="1" applyBorder="1" applyAlignment="1">
      <alignment horizontal="right" vertical="center"/>
    </xf>
    <xf numFmtId="0" fontId="61" fillId="47" borderId="28" xfId="0" applyFont="1" applyFill="1" applyBorder="1" applyAlignment="1">
      <alignment horizontal="center" vertical="center"/>
    </xf>
    <xf numFmtId="0" fontId="17" fillId="48" borderId="21" xfId="0" applyFont="1" applyFill="1" applyBorder="1" applyAlignment="1">
      <alignment horizontal="center" vertical="center"/>
    </xf>
    <xf numFmtId="0" fontId="17" fillId="6" borderId="22" xfId="0" applyFont="1" applyFill="1" applyBorder="1" applyAlignment="1">
      <alignment vertical="center"/>
    </xf>
    <xf numFmtId="0" fontId="61" fillId="47" borderId="25" xfId="0" applyFont="1" applyFill="1" applyBorder="1" applyAlignment="1">
      <alignment horizontal="center" vertical="center" wrapText="1"/>
    </xf>
    <xf numFmtId="0" fontId="61" fillId="47" borderId="25" xfId="0" applyFont="1" applyFill="1" applyBorder="1" applyAlignment="1">
      <alignment vertical="center"/>
    </xf>
    <xf numFmtId="0" fontId="24" fillId="15" borderId="21" xfId="0" applyFont="1" applyFill="1" applyBorder="1" applyAlignment="1">
      <alignment horizontal="center" vertical="center"/>
    </xf>
    <xf numFmtId="0" fontId="55" fillId="15" borderId="21" xfId="0" applyFont="1" applyFill="1" applyBorder="1" applyAlignment="1">
      <alignment horizontal="center" vertical="center"/>
    </xf>
    <xf numFmtId="0" fontId="61" fillId="62" borderId="25" xfId="0" applyFont="1" applyFill="1" applyBorder="1" applyAlignment="1">
      <alignment horizontal="center" vertical="center"/>
    </xf>
    <xf numFmtId="4" fontId="61" fillId="47" borderId="25" xfId="0" applyNumberFormat="1" applyFont="1" applyFill="1" applyBorder="1" applyAlignment="1">
      <alignment horizontal="center" vertical="center"/>
    </xf>
    <xf numFmtId="4" fontId="59" fillId="47" borderId="25" xfId="0" applyNumberFormat="1" applyFont="1" applyFill="1" applyBorder="1" applyAlignment="1">
      <alignment horizontal="right" vertical="center"/>
    </xf>
    <xf numFmtId="1" fontId="17" fillId="0" borderId="6" xfId="0" applyNumberFormat="1" applyFont="1" applyBorder="1" applyAlignment="1">
      <alignment horizontal="center" vertical="center"/>
    </xf>
    <xf numFmtId="164" fontId="61" fillId="35" borderId="28" xfId="0" applyNumberFormat="1" applyFont="1" applyFill="1" applyBorder="1" applyAlignment="1">
      <alignment horizontal="center" vertical="center" wrapText="1"/>
    </xf>
    <xf numFmtId="0" fontId="16" fillId="16" borderId="21" xfId="0" applyFont="1" applyFill="1" applyBorder="1" applyAlignment="1" applyProtection="1">
      <alignment horizontal="center" vertical="top" wrapText="1"/>
      <protection locked="0"/>
    </xf>
    <xf numFmtId="172" fontId="26" fillId="20" borderId="21" xfId="0" applyNumberFormat="1" applyFont="1" applyFill="1" applyBorder="1" applyAlignment="1" applyProtection="1">
      <alignment horizontal="center" vertical="center" wrapText="1"/>
      <protection locked="0"/>
    </xf>
    <xf numFmtId="0" fontId="80" fillId="36" borderId="25" xfId="0" applyFont="1" applyFill="1" applyBorder="1" applyAlignment="1" applyProtection="1">
      <alignment horizontal="center" vertical="top" wrapText="1"/>
      <protection locked="0"/>
    </xf>
    <xf numFmtId="4" fontId="62" fillId="35" borderId="25" xfId="0" applyNumberFormat="1" applyFont="1" applyFill="1" applyBorder="1" applyAlignment="1" applyProtection="1">
      <alignment horizontal="center" vertical="center" wrapText="1"/>
      <protection locked="0"/>
    </xf>
    <xf numFmtId="4" fontId="61" fillId="35" borderId="25" xfId="0" applyNumberFormat="1" applyFont="1" applyFill="1" applyBorder="1" applyAlignment="1" applyProtection="1">
      <alignment horizontal="center" vertical="center" wrapText="1"/>
      <protection locked="0"/>
    </xf>
    <xf numFmtId="171" fontId="26" fillId="20" borderId="21" xfId="0" applyNumberFormat="1" applyFont="1" applyFill="1" applyBorder="1" applyAlignment="1" applyProtection="1">
      <alignment horizontal="center" vertical="center" wrapText="1"/>
      <protection locked="0"/>
    </xf>
    <xf numFmtId="0" fontId="26" fillId="25" borderId="4" xfId="0" applyFont="1" applyFill="1" applyBorder="1" applyAlignment="1">
      <alignment horizontal="center" vertical="center" wrapText="1"/>
    </xf>
    <xf numFmtId="0" fontId="26" fillId="25" borderId="21" xfId="0" applyFont="1" applyFill="1" applyBorder="1" applyAlignment="1">
      <alignment horizontal="center" vertical="center" wrapText="1"/>
    </xf>
    <xf numFmtId="4" fontId="62" fillId="47" borderId="25" xfId="0" applyNumberFormat="1" applyFont="1" applyFill="1" applyBorder="1" applyAlignment="1">
      <alignment horizontal="center" vertical="center" wrapText="1"/>
    </xf>
    <xf numFmtId="4" fontId="60" fillId="47" borderId="25" xfId="0" applyNumberFormat="1" applyFont="1" applyFill="1" applyBorder="1" applyAlignment="1">
      <alignment horizontal="center" vertical="center" wrapText="1"/>
    </xf>
    <xf numFmtId="4" fontId="61" fillId="35" borderId="28" xfId="0" applyNumberFormat="1" applyFont="1" applyFill="1" applyBorder="1" applyAlignment="1">
      <alignment vertical="center"/>
    </xf>
    <xf numFmtId="4" fontId="61" fillId="47" borderId="28" xfId="0" applyNumberFormat="1" applyFont="1" applyFill="1" applyBorder="1" applyAlignment="1">
      <alignment vertical="center"/>
    </xf>
    <xf numFmtId="0" fontId="17" fillId="15" borderId="33" xfId="0" applyFont="1" applyFill="1" applyBorder="1" applyAlignment="1">
      <alignment horizontal="center" vertical="center"/>
    </xf>
    <xf numFmtId="4" fontId="61" fillId="35" borderId="28" xfId="0" applyNumberFormat="1" applyFont="1" applyFill="1" applyBorder="1" applyAlignment="1">
      <alignment horizontal="right" vertical="center"/>
    </xf>
    <xf numFmtId="4" fontId="61" fillId="47" borderId="28" xfId="0" applyNumberFormat="1" applyFont="1" applyFill="1" applyBorder="1" applyAlignment="1">
      <alignment horizontal="right" vertical="center"/>
    </xf>
    <xf numFmtId="0" fontId="55" fillId="15" borderId="33" xfId="0" applyFont="1" applyFill="1" applyBorder="1" applyAlignment="1">
      <alignment horizontal="center" vertical="center"/>
    </xf>
    <xf numFmtId="4" fontId="61" fillId="35" borderId="34" xfId="0" applyNumberFormat="1" applyFont="1" applyFill="1" applyBorder="1" applyAlignment="1">
      <alignment horizontal="right" vertical="center"/>
    </xf>
    <xf numFmtId="0" fontId="24" fillId="0" borderId="21" xfId="0" applyFont="1" applyBorder="1" applyAlignment="1">
      <alignment vertical="center"/>
    </xf>
    <xf numFmtId="4" fontId="17" fillId="15" borderId="33" xfId="0" applyNumberFormat="1" applyFont="1" applyFill="1" applyBorder="1" applyAlignment="1">
      <alignment horizontal="center" vertical="center"/>
    </xf>
    <xf numFmtId="0" fontId="24" fillId="20" borderId="9" xfId="0" applyFont="1" applyFill="1" applyBorder="1" applyAlignment="1">
      <alignment vertical="center"/>
    </xf>
    <xf numFmtId="4" fontId="58" fillId="47" borderId="28" xfId="0" applyNumberFormat="1" applyFont="1" applyFill="1" applyBorder="1" applyAlignment="1">
      <alignment horizontal="right" vertical="center"/>
    </xf>
    <xf numFmtId="0" fontId="16" fillId="43" borderId="33" xfId="0" applyFont="1" applyFill="1" applyBorder="1" applyAlignment="1">
      <alignment horizontal="center" vertical="top" wrapText="1"/>
    </xf>
    <xf numFmtId="4" fontId="61" fillId="47" borderId="28" xfId="1" applyNumberFormat="1" applyFont="1" applyFill="1" applyBorder="1" applyAlignment="1" applyProtection="1">
      <alignment horizontal="center" vertical="center"/>
    </xf>
    <xf numFmtId="39" fontId="54" fillId="47" borderId="28" xfId="0" applyNumberFormat="1" applyFont="1" applyFill="1" applyBorder="1" applyAlignment="1">
      <alignment horizontal="center" vertical="center"/>
    </xf>
    <xf numFmtId="178" fontId="0" fillId="0" borderId="0" xfId="0" applyNumberFormat="1"/>
    <xf numFmtId="0" fontId="61" fillId="52" borderId="25" xfId="0" applyFont="1" applyFill="1" applyBorder="1" applyAlignment="1">
      <alignment horizontal="center" vertical="top" wrapText="1"/>
    </xf>
    <xf numFmtId="0" fontId="61" fillId="52" borderId="25" xfId="0" applyFont="1" applyFill="1" applyBorder="1" applyAlignment="1" applyProtection="1">
      <alignment horizontal="center" vertical="top" wrapText="1"/>
      <protection locked="0"/>
    </xf>
    <xf numFmtId="4" fontId="62" fillId="35" borderId="25" xfId="0" applyNumberFormat="1" applyFont="1" applyFill="1" applyBorder="1" applyAlignment="1">
      <alignment horizontal="right" vertical="center" wrapText="1"/>
    </xf>
    <xf numFmtId="4" fontId="61" fillId="35" borderId="25" xfId="0" applyNumberFormat="1" applyFont="1" applyFill="1" applyBorder="1" applyAlignment="1" applyProtection="1">
      <alignment horizontal="right" vertical="center" wrapText="1"/>
      <protection locked="0"/>
    </xf>
    <xf numFmtId="0" fontId="24" fillId="28" borderId="21" xfId="0" applyFont="1" applyFill="1" applyBorder="1" applyAlignment="1">
      <alignment horizontal="center" vertical="center" wrapText="1"/>
    </xf>
    <xf numFmtId="4" fontId="62" fillId="36" borderId="25" xfId="0" applyNumberFormat="1" applyFont="1" applyFill="1" applyBorder="1" applyAlignment="1">
      <alignment horizontal="right" vertical="center" wrapText="1"/>
    </xf>
    <xf numFmtId="4" fontId="78" fillId="36" borderId="25" xfId="0" applyNumberFormat="1" applyFont="1" applyFill="1" applyBorder="1" applyAlignment="1" applyProtection="1">
      <alignment horizontal="right" vertical="center" wrapText="1"/>
      <protection locked="0"/>
    </xf>
    <xf numFmtId="4" fontId="61" fillId="37" borderId="36" xfId="0" applyNumberFormat="1" applyFont="1" applyFill="1" applyBorder="1" applyAlignment="1" applyProtection="1">
      <alignment horizontal="right" vertical="center" wrapText="1"/>
      <protection locked="0"/>
    </xf>
    <xf numFmtId="4" fontId="61" fillId="37" borderId="25" xfId="0" applyNumberFormat="1" applyFont="1" applyFill="1" applyBorder="1" applyAlignment="1" applyProtection="1">
      <alignment horizontal="right" vertical="center"/>
      <protection locked="0"/>
    </xf>
    <xf numFmtId="4" fontId="27" fillId="0" borderId="0" xfId="0" applyNumberFormat="1" applyFont="1" applyBorder="1" applyAlignment="1" applyProtection="1">
      <alignment vertical="center"/>
      <protection locked="0"/>
    </xf>
    <xf numFmtId="0" fontId="17" fillId="16" borderId="35" xfId="0" applyFont="1" applyFill="1" applyBorder="1" applyAlignment="1">
      <alignment horizontal="center" vertical="center" wrapText="1"/>
    </xf>
    <xf numFmtId="0" fontId="34" fillId="5" borderId="0" xfId="0" applyFont="1" applyFill="1" applyBorder="1" applyAlignment="1">
      <alignment horizontal="left" vertical="center"/>
    </xf>
    <xf numFmtId="0" fontId="16" fillId="65" borderId="12" xfId="0" applyFont="1" applyFill="1" applyBorder="1" applyAlignment="1">
      <alignment horizontal="center" vertical="top" wrapText="1"/>
    </xf>
    <xf numFmtId="0" fontId="19" fillId="5" borderId="24" xfId="0" applyFont="1" applyFill="1" applyBorder="1" applyAlignment="1">
      <alignment horizontal="center" vertical="center"/>
    </xf>
    <xf numFmtId="179" fontId="19" fillId="0" borderId="0" xfId="1" applyNumberFormat="1" applyFont="1" applyBorder="1" applyAlignment="1" applyProtection="1"/>
    <xf numFmtId="179" fontId="54" fillId="62" borderId="25" xfId="1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>
      <alignment horizontal="center"/>
    </xf>
    <xf numFmtId="0" fontId="22" fillId="16" borderId="24" xfId="0" applyFont="1" applyFill="1" applyBorder="1" applyAlignment="1">
      <alignment horizontal="center" vertical="center" wrapText="1"/>
    </xf>
    <xf numFmtId="4" fontId="14" fillId="20" borderId="24" xfId="0" applyNumberFormat="1" applyFont="1" applyFill="1" applyBorder="1" applyAlignment="1">
      <alignment horizontal="center" vertical="center"/>
    </xf>
    <xf numFmtId="0" fontId="22" fillId="20" borderId="0" xfId="0" applyFont="1" applyFill="1"/>
    <xf numFmtId="0" fontId="14" fillId="0" borderId="0" xfId="0" applyFont="1" applyAlignment="1">
      <alignment horizontal="center" vertical="center"/>
    </xf>
    <xf numFmtId="0" fontId="14" fillId="20" borderId="0" xfId="0" applyFont="1" applyFill="1" applyAlignment="1">
      <alignment horizontal="center" vertical="center"/>
    </xf>
    <xf numFmtId="2" fontId="22" fillId="0" borderId="0" xfId="0" applyNumberFormat="1" applyFont="1"/>
    <xf numFmtId="2" fontId="27" fillId="0" borderId="0" xfId="0" applyNumberFormat="1" applyFont="1"/>
    <xf numFmtId="0" fontId="16" fillId="20" borderId="35" xfId="0" applyFont="1" applyFill="1" applyBorder="1" applyAlignment="1">
      <alignment horizontal="center" vertical="center" wrapText="1"/>
    </xf>
    <xf numFmtId="0" fontId="61" fillId="36" borderId="25" xfId="0" applyFont="1" applyFill="1" applyBorder="1" applyAlignment="1">
      <alignment horizontal="center" vertical="center" wrapText="1"/>
    </xf>
    <xf numFmtId="4" fontId="54" fillId="35" borderId="25" xfId="0" applyNumberFormat="1" applyFont="1" applyFill="1" applyBorder="1" applyAlignment="1">
      <alignment horizontal="center" vertical="center"/>
    </xf>
    <xf numFmtId="4" fontId="54" fillId="35" borderId="36" xfId="0" applyNumberFormat="1" applyFont="1" applyFill="1" applyBorder="1" applyAlignment="1">
      <alignment horizontal="center" vertical="center"/>
    </xf>
    <xf numFmtId="0" fontId="20" fillId="71" borderId="24" xfId="0" applyFont="1" applyFill="1" applyBorder="1" applyAlignment="1">
      <alignment horizontal="center" vertical="center" wrapText="1"/>
    </xf>
    <xf numFmtId="0" fontId="17" fillId="24" borderId="23" xfId="0" applyFont="1" applyFill="1" applyBorder="1" applyAlignment="1">
      <alignment horizontal="center" vertical="center" wrapText="1"/>
    </xf>
    <xf numFmtId="0" fontId="17" fillId="24" borderId="24" xfId="0" applyFont="1" applyFill="1" applyBorder="1" applyAlignment="1">
      <alignment horizontal="center" vertical="center" wrapText="1"/>
    </xf>
    <xf numFmtId="0" fontId="16" fillId="71" borderId="24" xfId="0" applyFont="1" applyFill="1" applyBorder="1" applyAlignment="1">
      <alignment horizontal="center" vertical="top" wrapText="1"/>
    </xf>
    <xf numFmtId="0" fontId="26" fillId="71" borderId="24" xfId="0" applyFont="1" applyFill="1" applyBorder="1" applyAlignment="1">
      <alignment horizontal="justify" vertical="top" wrapText="1"/>
    </xf>
    <xf numFmtId="0" fontId="16" fillId="71" borderId="24" xfId="0" applyFont="1" applyFill="1" applyBorder="1" applyAlignment="1">
      <alignment horizontal="center" vertical="center" wrapText="1"/>
    </xf>
    <xf numFmtId="0" fontId="55" fillId="46" borderId="24" xfId="0" applyFont="1" applyFill="1" applyBorder="1" applyAlignment="1">
      <alignment horizontal="center" vertical="top" wrapText="1"/>
    </xf>
    <xf numFmtId="0" fontId="64" fillId="46" borderId="24" xfId="0" applyFont="1" applyFill="1" applyBorder="1" applyAlignment="1">
      <alignment horizontal="justify" vertical="top" wrapText="1"/>
    </xf>
    <xf numFmtId="0" fontId="55" fillId="46" borderId="24" xfId="0" applyFont="1" applyFill="1" applyBorder="1" applyAlignment="1">
      <alignment horizontal="center" vertical="center" wrapText="1"/>
    </xf>
    <xf numFmtId="0" fontId="36" fillId="46" borderId="24" xfId="0" applyFont="1" applyFill="1" applyBorder="1" applyAlignment="1">
      <alignment horizontal="center" vertical="center" wrapText="1"/>
    </xf>
    <xf numFmtId="0" fontId="16" fillId="46" borderId="24" xfId="0" applyFont="1" applyFill="1" applyBorder="1" applyAlignment="1">
      <alignment horizontal="center" vertical="top" wrapText="1"/>
    </xf>
    <xf numFmtId="0" fontId="26" fillId="46" borderId="24" xfId="0" applyFont="1" applyFill="1" applyBorder="1" applyAlignment="1">
      <alignment horizontal="justify" vertical="top"/>
    </xf>
    <xf numFmtId="0" fontId="16" fillId="46" borderId="24" xfId="0" applyFont="1" applyFill="1" applyBorder="1" applyAlignment="1">
      <alignment horizontal="center" vertical="center" wrapText="1"/>
    </xf>
    <xf numFmtId="0" fontId="20" fillId="46" borderId="24" xfId="0" applyFont="1" applyFill="1" applyBorder="1" applyAlignment="1">
      <alignment horizontal="center" vertical="center" wrapText="1"/>
    </xf>
    <xf numFmtId="0" fontId="16" fillId="20" borderId="24" xfId="0" applyFont="1" applyFill="1" applyBorder="1" applyAlignment="1">
      <alignment horizontal="center" vertical="top" wrapText="1"/>
    </xf>
    <xf numFmtId="0" fontId="26" fillId="20" borderId="24" xfId="0" applyFont="1" applyFill="1" applyBorder="1" applyAlignment="1">
      <alignment horizontal="justify" vertical="top" wrapText="1"/>
    </xf>
    <xf numFmtId="0" fontId="26" fillId="46" borderId="24" xfId="0" applyFont="1" applyFill="1" applyBorder="1" applyAlignment="1">
      <alignment horizontal="justify" vertical="top" wrapText="1"/>
    </xf>
    <xf numFmtId="0" fontId="22" fillId="20" borderId="24" xfId="0" applyFont="1" applyFill="1" applyBorder="1" applyAlignment="1">
      <alignment horizontal="center" vertical="center" wrapText="1"/>
    </xf>
    <xf numFmtId="0" fontId="26" fillId="20" borderId="24" xfId="0" applyFont="1" applyFill="1" applyBorder="1" applyAlignment="1">
      <alignment horizontal="justify" vertical="top"/>
    </xf>
    <xf numFmtId="0" fontId="22" fillId="46" borderId="24" xfId="0" applyFont="1" applyFill="1" applyBorder="1" applyAlignment="1">
      <alignment horizontal="center" vertical="center" wrapText="1"/>
    </xf>
    <xf numFmtId="4" fontId="14" fillId="20" borderId="23" xfId="0" applyNumberFormat="1" applyFont="1" applyFill="1" applyBorder="1" applyAlignment="1">
      <alignment horizontal="center" vertical="center"/>
    </xf>
    <xf numFmtId="0" fontId="16" fillId="19" borderId="23" xfId="0" applyFont="1" applyFill="1" applyBorder="1" applyAlignment="1">
      <alignment wrapText="1"/>
    </xf>
    <xf numFmtId="4" fontId="14" fillId="63" borderId="23" xfId="0" applyNumberFormat="1" applyFont="1" applyFill="1" applyBorder="1" applyAlignment="1">
      <alignment horizontal="center" vertical="center"/>
    </xf>
    <xf numFmtId="4" fontId="14" fillId="63" borderId="24" xfId="0" applyNumberFormat="1" applyFont="1" applyFill="1" applyBorder="1" applyAlignment="1">
      <alignment horizontal="center" vertical="center"/>
    </xf>
    <xf numFmtId="0" fontId="20" fillId="20" borderId="35" xfId="0" applyFont="1" applyFill="1" applyBorder="1" applyAlignment="1">
      <alignment horizontal="center" vertical="center" wrapText="1"/>
    </xf>
    <xf numFmtId="0" fontId="22" fillId="20" borderId="35" xfId="0" applyFont="1" applyFill="1" applyBorder="1" applyAlignment="1">
      <alignment horizontal="justify" vertical="center" wrapText="1"/>
    </xf>
    <xf numFmtId="0" fontId="20" fillId="25" borderId="35" xfId="0" applyFont="1" applyFill="1" applyBorder="1" applyAlignment="1">
      <alignment horizontal="center" vertical="center" wrapText="1"/>
    </xf>
    <xf numFmtId="0" fontId="22" fillId="16" borderId="35" xfId="0" applyFont="1" applyFill="1" applyBorder="1" applyAlignment="1">
      <alignment horizontal="justify" vertical="center" wrapText="1"/>
    </xf>
    <xf numFmtId="0" fontId="16" fillId="16" borderId="35" xfId="0" applyFont="1" applyFill="1" applyBorder="1" applyAlignment="1">
      <alignment horizontal="center" vertical="center" wrapText="1"/>
    </xf>
    <xf numFmtId="0" fontId="22" fillId="24" borderId="35" xfId="0" applyFont="1" applyFill="1" applyBorder="1" applyAlignment="1">
      <alignment horizontal="justify" vertical="center" wrapText="1"/>
    </xf>
    <xf numFmtId="0" fontId="16" fillId="24" borderId="35" xfId="0" applyFont="1" applyFill="1" applyBorder="1" applyAlignment="1">
      <alignment horizontal="center" vertical="center" wrapText="1"/>
    </xf>
    <xf numFmtId="0" fontId="20" fillId="14" borderId="35" xfId="0" applyFont="1" applyFill="1" applyBorder="1" applyAlignment="1">
      <alignment horizontal="center" vertical="center" wrapText="1"/>
    </xf>
    <xf numFmtId="0" fontId="20" fillId="15" borderId="35" xfId="0" applyFont="1" applyFill="1" applyBorder="1" applyAlignment="1">
      <alignment horizontal="center" vertical="center" wrapText="1"/>
    </xf>
    <xf numFmtId="0" fontId="27" fillId="24" borderId="35" xfId="0" applyFont="1" applyFill="1" applyBorder="1" applyAlignment="1">
      <alignment horizontal="justify" vertical="center" wrapText="1"/>
    </xf>
    <xf numFmtId="0" fontId="14" fillId="20" borderId="35" xfId="0" applyFont="1" applyFill="1" applyBorder="1" applyAlignment="1">
      <alignment horizontal="center" vertical="center" wrapText="1"/>
    </xf>
    <xf numFmtId="0" fontId="17" fillId="24" borderId="35" xfId="0" applyFont="1" applyFill="1" applyBorder="1" applyAlignment="1">
      <alignment horizontal="center" vertical="center" wrapText="1"/>
    </xf>
    <xf numFmtId="0" fontId="14" fillId="25" borderId="35" xfId="0" applyFont="1" applyFill="1" applyBorder="1" applyAlignment="1">
      <alignment horizontal="center" vertical="center" wrapText="1"/>
    </xf>
    <xf numFmtId="0" fontId="14" fillId="14" borderId="35" xfId="0" applyFont="1" applyFill="1" applyBorder="1" applyAlignment="1">
      <alignment horizontal="center" vertical="center" wrapText="1"/>
    </xf>
    <xf numFmtId="0" fontId="27" fillId="16" borderId="35" xfId="0" applyFont="1" applyFill="1" applyBorder="1" applyAlignment="1">
      <alignment horizontal="justify" vertical="center" wrapText="1"/>
    </xf>
    <xf numFmtId="0" fontId="14" fillId="15" borderId="35" xfId="0" applyFont="1" applyFill="1" applyBorder="1" applyAlignment="1">
      <alignment horizontal="center" vertical="center" wrapText="1"/>
    </xf>
    <xf numFmtId="0" fontId="27" fillId="16" borderId="24" xfId="0" applyFont="1" applyFill="1" applyBorder="1" applyAlignment="1">
      <alignment horizontal="center" vertical="center" wrapText="1"/>
    </xf>
    <xf numFmtId="0" fontId="27" fillId="24" borderId="24" xfId="0" applyFont="1" applyFill="1" applyBorder="1" applyAlignment="1">
      <alignment horizontal="center" vertical="center" wrapText="1"/>
    </xf>
    <xf numFmtId="4" fontId="54" fillId="36" borderId="25" xfId="0" applyNumberFormat="1" applyFont="1" applyFill="1" applyBorder="1" applyAlignment="1">
      <alignment horizontal="center" vertical="center" wrapText="1"/>
    </xf>
    <xf numFmtId="4" fontId="54" fillId="47" borderId="25" xfId="0" applyNumberFormat="1" applyFont="1" applyFill="1" applyBorder="1" applyAlignment="1">
      <alignment horizontal="center" vertical="center" wrapText="1"/>
    </xf>
    <xf numFmtId="4" fontId="21" fillId="19" borderId="24" xfId="0" applyNumberFormat="1" applyFont="1" applyFill="1" applyBorder="1" applyAlignment="1">
      <alignment horizontal="center" vertical="center" wrapText="1"/>
    </xf>
    <xf numFmtId="4" fontId="23" fillId="19" borderId="24" xfId="0" applyNumberFormat="1" applyFont="1" applyFill="1" applyBorder="1" applyAlignment="1">
      <alignment horizontal="center" vertical="center"/>
    </xf>
    <xf numFmtId="0" fontId="61" fillId="62" borderId="39" xfId="0" applyFont="1" applyFill="1" applyBorder="1" applyAlignment="1">
      <alignment horizontal="center" vertical="center" wrapText="1"/>
    </xf>
    <xf numFmtId="4" fontId="14" fillId="19" borderId="24" xfId="0" applyNumberFormat="1" applyFont="1" applyFill="1" applyBorder="1" applyAlignment="1">
      <alignment horizontal="center" vertical="center"/>
    </xf>
    <xf numFmtId="0" fontId="26" fillId="71" borderId="7" xfId="0" applyFont="1" applyFill="1" applyBorder="1" applyAlignment="1">
      <alignment horizontal="justify" vertical="top" wrapText="1"/>
    </xf>
    <xf numFmtId="0" fontId="16" fillId="71" borderId="7" xfId="0" applyFont="1" applyFill="1" applyBorder="1" applyAlignment="1">
      <alignment horizontal="center" vertical="center" wrapText="1"/>
    </xf>
    <xf numFmtId="0" fontId="20" fillId="71" borderId="7" xfId="0" applyFont="1" applyFill="1" applyBorder="1" applyAlignment="1">
      <alignment horizontal="center" vertical="center" wrapText="1"/>
    </xf>
    <xf numFmtId="4" fontId="14" fillId="20" borderId="13" xfId="0" applyNumberFormat="1" applyFont="1" applyFill="1" applyBorder="1" applyAlignment="1">
      <alignment horizontal="center" vertical="center"/>
    </xf>
    <xf numFmtId="4" fontId="14" fillId="20" borderId="7" xfId="0" applyNumberFormat="1" applyFont="1" applyFill="1" applyBorder="1" applyAlignment="1">
      <alignment horizontal="center" vertical="center"/>
    </xf>
    <xf numFmtId="4" fontId="50" fillId="19" borderId="24" xfId="0" applyNumberFormat="1" applyFont="1" applyFill="1" applyBorder="1" applyAlignment="1">
      <alignment horizontal="center" vertical="center" wrapText="1"/>
    </xf>
    <xf numFmtId="0" fontId="50" fillId="72" borderId="24" xfId="0" applyFont="1" applyFill="1" applyBorder="1" applyAlignment="1">
      <alignment vertical="center" wrapText="1"/>
    </xf>
    <xf numFmtId="168" fontId="23" fillId="13" borderId="24" xfId="1" applyNumberFormat="1" applyFont="1" applyFill="1" applyBorder="1" applyAlignment="1" applyProtection="1">
      <alignment horizontal="center" vertical="center"/>
    </xf>
    <xf numFmtId="4" fontId="54" fillId="36" borderId="36" xfId="0" applyNumberFormat="1" applyFont="1" applyFill="1" applyBorder="1" applyAlignment="1">
      <alignment horizontal="center" vertical="center" wrapText="1"/>
    </xf>
    <xf numFmtId="0" fontId="14" fillId="22" borderId="24" xfId="0" applyFont="1" applyFill="1" applyBorder="1" applyAlignment="1">
      <alignment horizontal="center" vertical="center"/>
    </xf>
    <xf numFmtId="0" fontId="14" fillId="22" borderId="24" xfId="0" applyFont="1" applyFill="1" applyBorder="1" applyAlignment="1">
      <alignment horizontal="center" vertical="center" wrapText="1"/>
    </xf>
    <xf numFmtId="0" fontId="27" fillId="5" borderId="6" xfId="0" applyFont="1" applyFill="1" applyBorder="1" applyAlignment="1">
      <alignment horizontal="center" vertical="center"/>
    </xf>
    <xf numFmtId="0" fontId="27" fillId="5" borderId="6" xfId="0" applyFont="1" applyFill="1" applyBorder="1" applyAlignment="1">
      <alignment horizontal="justify" vertical="top" wrapText="1"/>
    </xf>
    <xf numFmtId="0" fontId="27" fillId="5" borderId="6" xfId="0" applyFont="1" applyFill="1" applyBorder="1" applyAlignment="1">
      <alignment horizontal="center" vertical="center" wrapText="1"/>
    </xf>
    <xf numFmtId="0" fontId="27" fillId="5" borderId="21" xfId="0" applyFont="1" applyFill="1" applyBorder="1" applyAlignment="1">
      <alignment horizontal="center" vertical="center" wrapText="1"/>
    </xf>
    <xf numFmtId="0" fontId="27" fillId="5" borderId="9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top"/>
    </xf>
    <xf numFmtId="0" fontId="31" fillId="5" borderId="1" xfId="0" applyFont="1" applyFill="1" applyBorder="1" applyAlignment="1">
      <alignment horizontal="justify" vertical="top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justify" vertical="center"/>
    </xf>
    <xf numFmtId="0" fontId="16" fillId="69" borderId="24" xfId="0" applyFont="1" applyFill="1" applyBorder="1" applyAlignment="1">
      <alignment horizontal="center" vertical="top" wrapText="1"/>
    </xf>
    <xf numFmtId="0" fontId="14" fillId="16" borderId="12" xfId="0" applyFont="1" applyFill="1" applyBorder="1" applyAlignment="1">
      <alignment horizontal="center" vertical="top"/>
    </xf>
    <xf numFmtId="0" fontId="14" fillId="16" borderId="12" xfId="0" applyFont="1" applyFill="1" applyBorder="1" applyAlignment="1">
      <alignment horizontal="center" vertical="top" wrapText="1"/>
    </xf>
    <xf numFmtId="168" fontId="83" fillId="62" borderId="24" xfId="1" applyNumberFormat="1" applyFont="1" applyFill="1" applyBorder="1" applyAlignment="1" applyProtection="1">
      <alignment horizontal="center" vertical="center" wrapText="1"/>
    </xf>
    <xf numFmtId="4" fontId="54" fillId="47" borderId="24" xfId="0" applyNumberFormat="1" applyFont="1" applyFill="1" applyBorder="1" applyAlignment="1">
      <alignment horizontal="center" vertical="center"/>
    </xf>
    <xf numFmtId="4" fontId="83" fillId="73" borderId="24" xfId="1" applyNumberFormat="1" applyFont="1" applyFill="1" applyBorder="1" applyAlignment="1" applyProtection="1">
      <alignment horizontal="center" vertical="center"/>
    </xf>
    <xf numFmtId="4" fontId="84" fillId="73" borderId="24" xfId="1" applyNumberFormat="1" applyFont="1" applyFill="1" applyBorder="1" applyAlignment="1" applyProtection="1">
      <alignment horizontal="center" vertical="center"/>
    </xf>
    <xf numFmtId="0" fontId="15" fillId="25" borderId="35" xfId="0" applyFont="1" applyFill="1" applyBorder="1" applyAlignment="1">
      <alignment horizontal="center" vertical="center" wrapText="1"/>
    </xf>
    <xf numFmtId="0" fontId="50" fillId="72" borderId="6" xfId="0" applyFont="1" applyFill="1" applyBorder="1" applyAlignment="1">
      <alignment vertical="center"/>
    </xf>
    <xf numFmtId="4" fontId="83" fillId="73" borderId="6" xfId="1" applyNumberFormat="1" applyFont="1" applyFill="1" applyBorder="1" applyAlignment="1" applyProtection="1">
      <alignment horizontal="center" vertical="center"/>
    </xf>
    <xf numFmtId="0" fontId="20" fillId="20" borderId="24" xfId="0" applyFont="1" applyFill="1" applyBorder="1" applyAlignment="1">
      <alignment horizontal="center" vertical="center" wrapText="1"/>
    </xf>
    <xf numFmtId="0" fontId="16" fillId="20" borderId="35" xfId="0" applyFont="1" applyFill="1" applyBorder="1" applyAlignment="1">
      <alignment horizontal="center" vertical="center" wrapText="1"/>
    </xf>
    <xf numFmtId="0" fontId="22" fillId="71" borderId="24" xfId="0" applyFont="1" applyFill="1" applyBorder="1" applyAlignment="1">
      <alignment horizontal="center" vertical="center"/>
    </xf>
    <xf numFmtId="0" fontId="22" fillId="71" borderId="24" xfId="0" applyFont="1" applyFill="1" applyBorder="1" applyAlignment="1">
      <alignment horizontal="center" vertical="center" wrapText="1"/>
    </xf>
    <xf numFmtId="0" fontId="82" fillId="46" borderId="24" xfId="0" applyFont="1" applyFill="1" applyBorder="1" applyAlignment="1">
      <alignment horizontal="center" vertical="center"/>
    </xf>
    <xf numFmtId="0" fontId="82" fillId="46" borderId="24" xfId="0" applyFont="1" applyFill="1" applyBorder="1" applyAlignment="1">
      <alignment horizontal="center" vertical="center" wrapText="1"/>
    </xf>
    <xf numFmtId="0" fontId="22" fillId="46" borderId="24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71" borderId="7" xfId="0" applyFont="1" applyFill="1" applyBorder="1" applyAlignment="1">
      <alignment horizontal="center" vertical="center"/>
    </xf>
    <xf numFmtId="0" fontId="22" fillId="71" borderId="7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16" fillId="16" borderId="24" xfId="0" applyFont="1" applyFill="1" applyBorder="1" applyAlignment="1">
      <alignment horizontal="center" vertical="center" wrapText="1"/>
    </xf>
    <xf numFmtId="0" fontId="35" fillId="18" borderId="1" xfId="0" applyFont="1" applyFill="1" applyBorder="1" applyAlignment="1">
      <alignment horizontal="center" vertical="top" wrapText="1"/>
    </xf>
    <xf numFmtId="0" fontId="35" fillId="18" borderId="3" xfId="0" applyFont="1" applyFill="1" applyBorder="1" applyAlignment="1">
      <alignment horizontal="center" vertical="top" wrapText="1"/>
    </xf>
    <xf numFmtId="4" fontId="58" fillId="36" borderId="25" xfId="0" applyNumberFormat="1" applyFont="1" applyFill="1" applyBorder="1" applyAlignment="1" applyProtection="1">
      <alignment horizontal="right" vertical="center"/>
      <protection locked="0"/>
    </xf>
    <xf numFmtId="0" fontId="27" fillId="0" borderId="0" xfId="0" applyFont="1" applyAlignment="1">
      <alignment horizontal="center" vertical="center"/>
    </xf>
    <xf numFmtId="0" fontId="27" fillId="5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0" fontId="85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86" fillId="0" borderId="0" xfId="0" applyFont="1" applyBorder="1" applyAlignment="1">
      <alignment vertical="top"/>
    </xf>
    <xf numFmtId="4" fontId="22" fillId="0" borderId="0" xfId="0" applyNumberFormat="1" applyFont="1" applyBorder="1" applyAlignment="1">
      <alignment horizontal="left" wrapText="1"/>
    </xf>
    <xf numFmtId="4" fontId="22" fillId="0" borderId="0" xfId="0" applyNumberFormat="1" applyFont="1" applyBorder="1" applyAlignment="1">
      <alignment horizontal="center" wrapText="1"/>
    </xf>
    <xf numFmtId="0" fontId="22" fillId="0" borderId="0" xfId="0" applyFont="1" applyAlignment="1">
      <alignment horizontal="justify" vertical="center"/>
    </xf>
    <xf numFmtId="4" fontId="22" fillId="0" borderId="0" xfId="1" applyNumberFormat="1" applyFont="1" applyBorder="1" applyAlignment="1" applyProtection="1">
      <alignment horizontal="right"/>
    </xf>
    <xf numFmtId="4" fontId="22" fillId="0" borderId="0" xfId="1" applyNumberFormat="1" applyFont="1" applyBorder="1" applyAlignment="1" applyProtection="1">
      <alignment horizontal="center"/>
    </xf>
    <xf numFmtId="0" fontId="17" fillId="19" borderId="23" xfId="0" applyFont="1" applyFill="1" applyBorder="1" applyAlignment="1">
      <alignment vertical="center" wrapText="1"/>
    </xf>
    <xf numFmtId="4" fontId="58" fillId="35" borderId="25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53" fillId="46" borderId="24" xfId="0" applyFont="1" applyFill="1" applyBorder="1" applyAlignment="1">
      <alignment horizontal="center" vertical="center" wrapText="1"/>
    </xf>
    <xf numFmtId="0" fontId="88" fillId="46" borderId="24" xfId="0" applyFont="1" applyFill="1" applyBorder="1" applyAlignment="1">
      <alignment horizontal="center" vertical="center" wrapText="1"/>
    </xf>
    <xf numFmtId="0" fontId="80" fillId="36" borderId="28" xfId="0" applyFont="1" applyFill="1" applyBorder="1" applyAlignment="1" applyProtection="1">
      <alignment horizontal="center" vertical="top" wrapText="1"/>
      <protection locked="0"/>
    </xf>
    <xf numFmtId="4" fontId="62" fillId="35" borderId="28" xfId="0" applyNumberFormat="1" applyFont="1" applyFill="1" applyBorder="1" applyAlignment="1" applyProtection="1">
      <alignment horizontal="center" vertical="center" wrapText="1"/>
      <protection locked="0"/>
    </xf>
    <xf numFmtId="4" fontId="17" fillId="14" borderId="14" xfId="0" applyNumberFormat="1" applyFont="1" applyFill="1" applyBorder="1" applyAlignment="1" applyProtection="1">
      <alignment horizontal="center" vertical="center"/>
      <protection locked="0"/>
    </xf>
    <xf numFmtId="4" fontId="16" fillId="14" borderId="9" xfId="0" applyNumberFormat="1" applyFont="1" applyFill="1" applyBorder="1" applyAlignment="1" applyProtection="1">
      <alignment horizontal="center" vertical="center"/>
      <protection locked="0"/>
    </xf>
    <xf numFmtId="4" fontId="16" fillId="46" borderId="33" xfId="0" applyNumberFormat="1" applyFont="1" applyFill="1" applyBorder="1" applyAlignment="1" applyProtection="1">
      <alignment horizontal="center" vertical="center"/>
      <protection locked="0"/>
    </xf>
    <xf numFmtId="4" fontId="61" fillId="35" borderId="14" xfId="0" applyNumberFormat="1" applyFont="1" applyFill="1" applyBorder="1" applyAlignment="1" applyProtection="1">
      <alignment horizontal="center" vertical="center" wrapText="1"/>
      <protection locked="0"/>
    </xf>
    <xf numFmtId="39" fontId="54" fillId="35" borderId="28" xfId="0" applyNumberFormat="1" applyFont="1" applyFill="1" applyBorder="1" applyAlignment="1" applyProtection="1">
      <alignment horizontal="center" vertical="center" wrapText="1"/>
      <protection locked="0"/>
    </xf>
    <xf numFmtId="39" fontId="61" fillId="35" borderId="28" xfId="0" applyNumberFormat="1" applyFont="1" applyFill="1" applyBorder="1" applyAlignment="1" applyProtection="1">
      <alignment horizontal="center" vertical="center" wrapText="1"/>
      <protection locked="0"/>
    </xf>
    <xf numFmtId="0" fontId="17" fillId="16" borderId="35" xfId="0" applyFont="1" applyFill="1" applyBorder="1" applyAlignment="1">
      <alignment horizontal="center" vertical="center" wrapText="1"/>
    </xf>
    <xf numFmtId="4" fontId="17" fillId="14" borderId="10" xfId="0" applyNumberFormat="1" applyFont="1" applyFill="1" applyBorder="1" applyAlignment="1" applyProtection="1">
      <alignment horizontal="right" vertical="center"/>
      <protection locked="0"/>
    </xf>
    <xf numFmtId="0" fontId="16" fillId="25" borderId="1" xfId="0" applyFont="1" applyFill="1" applyBorder="1" applyAlignment="1" applyProtection="1">
      <alignment horizontal="center" vertical="center"/>
      <protection locked="0"/>
    </xf>
    <xf numFmtId="0" fontId="14" fillId="16" borderId="14" xfId="0" applyFont="1" applyFill="1" applyBorder="1" applyAlignment="1">
      <alignment horizontal="center" vertical="top" wrapText="1"/>
    </xf>
    <xf numFmtId="0" fontId="16" fillId="20" borderId="24" xfId="0" applyFont="1" applyFill="1" applyBorder="1" applyAlignment="1">
      <alignment horizontal="center" vertical="center" wrapText="1"/>
    </xf>
    <xf numFmtId="4" fontId="57" fillId="62" borderId="25" xfId="1" applyNumberFormat="1" applyFont="1" applyFill="1" applyBorder="1" applyAlignment="1" applyProtection="1">
      <alignment horizontal="center" vertical="center"/>
    </xf>
    <xf numFmtId="0" fontId="19" fillId="5" borderId="24" xfId="0" applyFont="1" applyFill="1" applyBorder="1" applyAlignment="1">
      <alignment horizontal="justify" vertical="center" wrapText="1"/>
    </xf>
    <xf numFmtId="0" fontId="16" fillId="5" borderId="24" xfId="0" applyFont="1" applyFill="1" applyBorder="1" applyAlignment="1">
      <alignment horizontal="center" vertical="center" wrapText="1"/>
    </xf>
    <xf numFmtId="0" fontId="21" fillId="5" borderId="24" xfId="0" applyFont="1" applyFill="1" applyBorder="1" applyAlignment="1">
      <alignment horizontal="center" vertical="center" wrapText="1"/>
    </xf>
    <xf numFmtId="4" fontId="57" fillId="62" borderId="39" xfId="1" applyNumberFormat="1" applyFont="1" applyFill="1" applyBorder="1" applyAlignment="1" applyProtection="1">
      <alignment horizontal="center" vertical="center"/>
    </xf>
    <xf numFmtId="0" fontId="19" fillId="66" borderId="24" xfId="0" applyFont="1" applyFill="1" applyBorder="1" applyAlignment="1">
      <alignment horizontal="justify" vertical="center" wrapText="1"/>
    </xf>
    <xf numFmtId="0" fontId="16" fillId="66" borderId="24" xfId="0" applyFont="1" applyFill="1" applyBorder="1" applyAlignment="1">
      <alignment horizontal="center" vertical="center" wrapText="1"/>
    </xf>
    <xf numFmtId="0" fontId="21" fillId="66" borderId="24" xfId="0" applyFont="1" applyFill="1" applyBorder="1" applyAlignment="1">
      <alignment horizontal="center" vertical="center" wrapText="1"/>
    </xf>
    <xf numFmtId="4" fontId="57" fillId="62" borderId="40" xfId="1" applyNumberFormat="1" applyFont="1" applyFill="1" applyBorder="1" applyAlignment="1" applyProtection="1">
      <alignment horizontal="center" vertical="center"/>
    </xf>
    <xf numFmtId="4" fontId="57" fillId="62" borderId="36" xfId="1" applyNumberFormat="1" applyFont="1" applyFill="1" applyBorder="1" applyAlignment="1" applyProtection="1">
      <alignment horizontal="center" vertical="center"/>
    </xf>
    <xf numFmtId="4" fontId="57" fillId="62" borderId="37" xfId="1" applyNumberFormat="1" applyFont="1" applyFill="1" applyBorder="1" applyAlignment="1" applyProtection="1">
      <alignment horizontal="center" vertical="center"/>
    </xf>
    <xf numFmtId="0" fontId="21" fillId="20" borderId="35" xfId="0" applyFont="1" applyFill="1" applyBorder="1" applyAlignment="1">
      <alignment horizontal="center" vertical="center" wrapText="1"/>
    </xf>
    <xf numFmtId="0" fontId="21" fillId="25" borderId="35" xfId="0" applyFont="1" applyFill="1" applyBorder="1" applyAlignment="1">
      <alignment horizontal="center" vertical="center" wrapText="1"/>
    </xf>
    <xf numFmtId="0" fontId="19" fillId="25" borderId="35" xfId="0" applyFont="1" applyFill="1" applyBorder="1" applyAlignment="1">
      <alignment horizontal="left" vertical="center" wrapText="1"/>
    </xf>
    <xf numFmtId="0" fontId="19" fillId="20" borderId="35" xfId="0" applyFont="1" applyFill="1" applyBorder="1" applyAlignment="1">
      <alignment horizontal="left" vertical="center" wrapText="1"/>
    </xf>
    <xf numFmtId="0" fontId="21" fillId="67" borderId="24" xfId="0" applyFont="1" applyFill="1" applyBorder="1" applyAlignment="1">
      <alignment horizontal="center" vertical="center" wrapText="1"/>
    </xf>
    <xf numFmtId="0" fontId="19" fillId="67" borderId="24" xfId="0" applyFont="1" applyFill="1" applyBorder="1" applyAlignment="1">
      <alignment horizontal="justify" vertical="center" wrapText="1"/>
    </xf>
    <xf numFmtId="0" fontId="16" fillId="67" borderId="24" xfId="0" applyFont="1" applyFill="1" applyBorder="1" applyAlignment="1">
      <alignment horizontal="center" vertical="center" wrapText="1"/>
    </xf>
    <xf numFmtId="4" fontId="57" fillId="62" borderId="44" xfId="1" applyNumberFormat="1" applyFont="1" applyFill="1" applyBorder="1" applyAlignment="1" applyProtection="1">
      <alignment horizontal="center" vertical="center"/>
    </xf>
    <xf numFmtId="0" fontId="21" fillId="66" borderId="35" xfId="0" applyFont="1" applyFill="1" applyBorder="1" applyAlignment="1">
      <alignment horizontal="center" vertical="center" wrapText="1"/>
    </xf>
    <xf numFmtId="0" fontId="19" fillId="66" borderId="35" xfId="0" applyFont="1" applyFill="1" applyBorder="1" applyAlignment="1">
      <alignment horizontal="left" vertical="center" wrapText="1"/>
    </xf>
    <xf numFmtId="0" fontId="16" fillId="66" borderId="35" xfId="0" applyFont="1" applyFill="1" applyBorder="1" applyAlignment="1">
      <alignment horizontal="center" vertical="center" wrapText="1"/>
    </xf>
    <xf numFmtId="0" fontId="16" fillId="20" borderId="35" xfId="0" applyFont="1" applyFill="1" applyBorder="1" applyAlignment="1">
      <alignment horizontal="center" vertical="center" wrapText="1"/>
    </xf>
    <xf numFmtId="0" fontId="16" fillId="25" borderId="35" xfId="0" applyFont="1" applyFill="1" applyBorder="1" applyAlignment="1">
      <alignment horizontal="center" vertical="center" wrapText="1"/>
    </xf>
    <xf numFmtId="168" fontId="57" fillId="62" borderId="25" xfId="1" applyNumberFormat="1" applyFont="1" applyFill="1" applyBorder="1" applyAlignment="1" applyProtection="1">
      <alignment horizontal="center" vertical="center" wrapText="1"/>
    </xf>
    <xf numFmtId="0" fontId="19" fillId="66" borderId="24" xfId="0" applyFont="1" applyFill="1" applyBorder="1" applyAlignment="1">
      <alignment horizontal="center" vertical="center" wrapText="1"/>
    </xf>
    <xf numFmtId="0" fontId="19" fillId="66" borderId="7" xfId="0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" vertical="center" wrapText="1"/>
    </xf>
    <xf numFmtId="0" fontId="21" fillId="5" borderId="35" xfId="0" applyFont="1" applyFill="1" applyBorder="1" applyAlignment="1">
      <alignment horizontal="center" vertical="center" wrapText="1"/>
    </xf>
    <xf numFmtId="0" fontId="16" fillId="5" borderId="35" xfId="0" applyFont="1" applyFill="1" applyBorder="1" applyAlignment="1">
      <alignment horizontal="center" vertical="center" wrapText="1"/>
    </xf>
    <xf numFmtId="0" fontId="19" fillId="5" borderId="35" xfId="0" applyFont="1" applyFill="1" applyBorder="1" applyAlignment="1">
      <alignment horizontal="justify" vertical="center" wrapText="1"/>
    </xf>
    <xf numFmtId="0" fontId="15" fillId="0" borderId="5" xfId="0" applyFont="1" applyBorder="1" applyAlignment="1">
      <alignment vertical="center"/>
    </xf>
    <xf numFmtId="0" fontId="15" fillId="0" borderId="0" xfId="0" applyFont="1"/>
    <xf numFmtId="0" fontId="39" fillId="0" borderId="0" xfId="0" applyFont="1"/>
    <xf numFmtId="4" fontId="26" fillId="13" borderId="1" xfId="0" applyNumberFormat="1" applyFont="1" applyFill="1" applyBorder="1" applyAlignment="1" applyProtection="1">
      <alignment horizontal="center" vertical="center"/>
    </xf>
    <xf numFmtId="172" fontId="26" fillId="19" borderId="21" xfId="0" applyNumberFormat="1" applyFont="1" applyFill="1" applyBorder="1" applyAlignment="1" applyProtection="1">
      <alignment horizontal="center" vertical="center" wrapText="1"/>
      <protection locked="0"/>
    </xf>
    <xf numFmtId="0" fontId="64" fillId="20" borderId="1" xfId="0" applyFont="1" applyFill="1" applyBorder="1" applyAlignment="1" applyProtection="1">
      <alignment horizontal="center" vertical="center" wrapText="1"/>
      <protection locked="0"/>
    </xf>
    <xf numFmtId="0" fontId="64" fillId="19" borderId="1" xfId="0" applyFont="1" applyFill="1" applyBorder="1" applyAlignment="1" applyProtection="1">
      <alignment horizontal="center" vertical="center" wrapText="1"/>
      <protection locked="0"/>
    </xf>
    <xf numFmtId="3" fontId="64" fillId="20" borderId="1" xfId="0" applyNumberFormat="1" applyFont="1" applyFill="1" applyBorder="1" applyAlignment="1" applyProtection="1">
      <alignment horizontal="center" vertical="center" wrapText="1"/>
      <protection locked="0"/>
    </xf>
    <xf numFmtId="171" fontId="26" fillId="19" borderId="21" xfId="0" applyNumberFormat="1" applyFont="1" applyFill="1" applyBorder="1" applyAlignment="1" applyProtection="1">
      <alignment horizontal="center" vertical="center" wrapText="1"/>
      <protection locked="0"/>
    </xf>
    <xf numFmtId="4" fontId="91" fillId="14" borderId="10" xfId="0" applyNumberFormat="1" applyFont="1" applyFill="1" applyBorder="1" applyAlignment="1" applyProtection="1">
      <alignment horizontal="center" vertical="center"/>
      <protection locked="0"/>
    </xf>
    <xf numFmtId="4" fontId="16" fillId="0" borderId="22" xfId="0" applyNumberFormat="1" applyFont="1" applyBorder="1" applyAlignment="1">
      <alignment vertical="center"/>
    </xf>
    <xf numFmtId="4" fontId="16" fillId="0" borderId="23" xfId="0" applyNumberFormat="1" applyFont="1" applyBorder="1" applyAlignment="1">
      <alignment vertical="center"/>
    </xf>
    <xf numFmtId="4" fontId="90" fillId="0" borderId="21" xfId="0" applyNumberFormat="1" applyFont="1" applyBorder="1" applyAlignment="1">
      <alignment horizontal="center" vertical="center"/>
    </xf>
    <xf numFmtId="4" fontId="16" fillId="14" borderId="11" xfId="0" applyNumberFormat="1" applyFont="1" applyFill="1" applyBorder="1" applyAlignment="1" applyProtection="1">
      <alignment vertical="center"/>
      <protection locked="0"/>
    </xf>
    <xf numFmtId="4" fontId="26" fillId="45" borderId="35" xfId="0" applyNumberFormat="1" applyFont="1" applyFill="1" applyBorder="1" applyAlignment="1" applyProtection="1">
      <alignment horizontal="center" vertical="center"/>
    </xf>
    <xf numFmtId="4" fontId="91" fillId="14" borderId="22" xfId="0" applyNumberFormat="1" applyFont="1" applyFill="1" applyBorder="1" applyAlignment="1" applyProtection="1">
      <alignment horizontal="center" vertical="center"/>
      <protection locked="0"/>
    </xf>
    <xf numFmtId="0" fontId="16" fillId="25" borderId="35" xfId="0" applyFont="1" applyFill="1" applyBorder="1" applyAlignment="1">
      <alignment horizontal="center" vertical="center"/>
    </xf>
    <xf numFmtId="4" fontId="16" fillId="45" borderId="35" xfId="0" applyNumberFormat="1" applyFont="1" applyFill="1" applyBorder="1" applyAlignment="1">
      <alignment horizontal="center" vertical="center"/>
    </xf>
    <xf numFmtId="4" fontId="90" fillId="0" borderId="22" xfId="0" applyNumberFormat="1" applyFont="1" applyBorder="1" applyAlignment="1">
      <alignment horizontal="center" vertical="center"/>
    </xf>
    <xf numFmtId="4" fontId="16" fillId="23" borderId="33" xfId="1" applyNumberFormat="1" applyFont="1" applyFill="1" applyBorder="1" applyAlignment="1" applyProtection="1">
      <alignment horizontal="center" vertical="center"/>
    </xf>
    <xf numFmtId="4" fontId="16" fillId="14" borderId="29" xfId="0" applyNumberFormat="1" applyFont="1" applyFill="1" applyBorder="1" applyAlignment="1" applyProtection="1">
      <alignment vertical="center"/>
      <protection locked="0"/>
    </xf>
    <xf numFmtId="0" fontId="19" fillId="14" borderId="30" xfId="0" applyFont="1" applyFill="1" applyBorder="1" applyAlignment="1"/>
    <xf numFmtId="4" fontId="91" fillId="14" borderId="30" xfId="0" applyNumberFormat="1" applyFont="1" applyFill="1" applyBorder="1" applyAlignment="1">
      <alignment horizontal="center" vertical="center"/>
    </xf>
    <xf numFmtId="4" fontId="61" fillId="35" borderId="39" xfId="0" applyNumberFormat="1" applyFont="1" applyFill="1" applyBorder="1" applyAlignment="1">
      <alignment horizontal="center" vertical="center"/>
    </xf>
    <xf numFmtId="3" fontId="16" fillId="20" borderId="35" xfId="0" applyNumberFormat="1" applyFont="1" applyFill="1" applyBorder="1" applyAlignment="1">
      <alignment horizontal="center" vertical="center"/>
    </xf>
    <xf numFmtId="0" fontId="16" fillId="20" borderId="35" xfId="0" applyFont="1" applyFill="1" applyBorder="1" applyAlignment="1">
      <alignment horizontal="center" vertical="center"/>
    </xf>
    <xf numFmtId="4" fontId="20" fillId="20" borderId="35" xfId="0" applyNumberFormat="1" applyFont="1" applyFill="1" applyBorder="1" applyAlignment="1">
      <alignment horizontal="center" vertical="center"/>
    </xf>
    <xf numFmtId="4" fontId="61" fillId="47" borderId="36" xfId="1" applyNumberFormat="1" applyFont="1" applyFill="1" applyBorder="1" applyAlignment="1" applyProtection="1">
      <alignment horizontal="center" vertical="center"/>
    </xf>
    <xf numFmtId="4" fontId="54" fillId="35" borderId="6" xfId="0" applyNumberFormat="1" applyFont="1" applyFill="1" applyBorder="1" applyAlignment="1">
      <alignment horizontal="center" vertical="center"/>
    </xf>
    <xf numFmtId="4" fontId="54" fillId="35" borderId="9" xfId="0" applyNumberFormat="1" applyFont="1" applyFill="1" applyBorder="1" applyAlignment="1">
      <alignment horizontal="center" vertical="center"/>
    </xf>
    <xf numFmtId="0" fontId="19" fillId="25" borderId="24" xfId="0" applyFont="1" applyFill="1" applyBorder="1" applyAlignment="1">
      <alignment horizontal="center" vertical="center" wrapText="1"/>
    </xf>
    <xf numFmtId="0" fontId="19" fillId="67" borderId="24" xfId="0" applyFont="1" applyFill="1" applyBorder="1" applyAlignment="1">
      <alignment horizontal="center" vertical="center" wrapText="1"/>
    </xf>
    <xf numFmtId="0" fontId="19" fillId="20" borderId="24" xfId="0" applyFont="1" applyFill="1" applyBorder="1" applyAlignment="1">
      <alignment horizontal="center" vertical="center" wrapText="1"/>
    </xf>
    <xf numFmtId="4" fontId="57" fillId="62" borderId="51" xfId="1" applyNumberFormat="1" applyFont="1" applyFill="1" applyBorder="1" applyAlignment="1" applyProtection="1">
      <alignment horizontal="center" vertical="center"/>
    </xf>
    <xf numFmtId="0" fontId="21" fillId="15" borderId="35" xfId="0" applyFont="1" applyFill="1" applyBorder="1" applyAlignment="1">
      <alignment horizontal="center" vertical="center" wrapText="1"/>
    </xf>
    <xf numFmtId="0" fontId="16" fillId="16" borderId="23" xfId="0" applyFont="1" applyFill="1" applyBorder="1" applyAlignment="1">
      <alignment horizontal="center" vertical="center" wrapText="1"/>
    </xf>
    <xf numFmtId="0" fontId="16" fillId="16" borderId="21" xfId="0" applyFont="1" applyFill="1" applyBorder="1" applyAlignment="1">
      <alignment horizontal="center" vertical="center" wrapText="1"/>
    </xf>
    <xf numFmtId="0" fontId="22" fillId="24" borderId="24" xfId="0" applyFont="1" applyFill="1" applyBorder="1" applyAlignment="1">
      <alignment horizontal="center" vertical="center" wrapText="1"/>
    </xf>
    <xf numFmtId="0" fontId="27" fillId="20" borderId="35" xfId="0" applyFont="1" applyFill="1" applyBorder="1" applyAlignment="1">
      <alignment horizontal="justify" vertical="center" wrapText="1"/>
    </xf>
    <xf numFmtId="0" fontId="17" fillId="20" borderId="35" xfId="0" applyFont="1" applyFill="1" applyBorder="1" applyAlignment="1">
      <alignment horizontal="center" vertical="center" wrapText="1"/>
    </xf>
    <xf numFmtId="0" fontId="14" fillId="14" borderId="7" xfId="0" applyFont="1" applyFill="1" applyBorder="1" applyAlignment="1">
      <alignment horizontal="center" vertical="center" wrapText="1"/>
    </xf>
    <xf numFmtId="0" fontId="27" fillId="16" borderId="7" xfId="0" applyFont="1" applyFill="1" applyBorder="1" applyAlignment="1">
      <alignment vertical="center" wrapText="1"/>
    </xf>
    <xf numFmtId="0" fontId="17" fillId="16" borderId="7" xfId="0" applyFont="1" applyFill="1" applyBorder="1" applyAlignment="1">
      <alignment vertical="center" wrapText="1"/>
    </xf>
    <xf numFmtId="0" fontId="27" fillId="14" borderId="7" xfId="0" applyFont="1" applyFill="1" applyBorder="1" applyAlignment="1">
      <alignment horizontal="center" vertical="center"/>
    </xf>
    <xf numFmtId="0" fontId="14" fillId="15" borderId="7" xfId="0" applyFont="1" applyFill="1" applyBorder="1" applyAlignment="1">
      <alignment horizontal="center" vertical="center" wrapText="1"/>
    </xf>
    <xf numFmtId="0" fontId="22" fillId="5" borderId="24" xfId="0" applyFont="1" applyFill="1" applyBorder="1" applyAlignment="1">
      <alignment horizontal="center" vertical="center" wrapText="1"/>
    </xf>
    <xf numFmtId="0" fontId="16" fillId="65" borderId="24" xfId="0" applyFont="1" applyFill="1" applyBorder="1" applyAlignment="1">
      <alignment horizontal="center" vertical="center" wrapText="1"/>
    </xf>
    <xf numFmtId="1" fontId="61" fillId="35" borderId="25" xfId="0" applyNumberFormat="1" applyFont="1" applyFill="1" applyBorder="1" applyAlignment="1">
      <alignment horizontal="center" vertical="top" wrapText="1"/>
    </xf>
    <xf numFmtId="0" fontId="61" fillId="35" borderId="25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center"/>
    </xf>
    <xf numFmtId="0" fontId="22" fillId="14" borderId="24" xfId="0" applyFont="1" applyFill="1" applyBorder="1" applyAlignment="1">
      <alignment horizontal="center" vertical="center" wrapText="1"/>
    </xf>
    <xf numFmtId="0" fontId="26" fillId="24" borderId="24" xfId="0" applyFont="1" applyFill="1" applyBorder="1" applyAlignment="1">
      <alignment horizontal="center" vertical="center" wrapText="1"/>
    </xf>
    <xf numFmtId="0" fontId="82" fillId="24" borderId="24" xfId="0" applyFont="1" applyFill="1" applyBorder="1" applyAlignment="1">
      <alignment horizontal="center" vertical="center" wrapText="1"/>
    </xf>
    <xf numFmtId="0" fontId="82" fillId="16" borderId="24" xfId="0" applyFont="1" applyFill="1" applyBorder="1" applyAlignment="1">
      <alignment horizontal="center" vertical="center" wrapText="1"/>
    </xf>
    <xf numFmtId="0" fontId="27" fillId="14" borderId="7" xfId="0" applyFont="1" applyFill="1" applyBorder="1" applyAlignment="1">
      <alignment horizontal="center" vertical="center" wrapText="1"/>
    </xf>
    <xf numFmtId="0" fontId="57" fillId="35" borderId="25" xfId="0" applyFont="1" applyFill="1" applyBorder="1" applyAlignment="1">
      <alignment horizontal="center" vertical="top" wrapText="1"/>
    </xf>
    <xf numFmtId="4" fontId="92" fillId="52" borderId="25" xfId="0" applyNumberFormat="1" applyFont="1" applyFill="1" applyBorder="1" applyAlignment="1">
      <alignment horizontal="center" vertical="center"/>
    </xf>
    <xf numFmtId="4" fontId="92" fillId="47" borderId="25" xfId="1" applyNumberFormat="1" applyFont="1" applyFill="1" applyBorder="1" applyAlignment="1" applyProtection="1">
      <alignment horizontal="center" vertical="center"/>
    </xf>
    <xf numFmtId="4" fontId="57" fillId="47" borderId="25" xfId="1" applyNumberFormat="1" applyFont="1" applyFill="1" applyBorder="1" applyAlignment="1" applyProtection="1">
      <alignment horizontal="center" vertical="center"/>
    </xf>
    <xf numFmtId="4" fontId="57" fillId="47" borderId="45" xfId="1" applyNumberFormat="1" applyFont="1" applyFill="1" applyBorder="1" applyAlignment="1" applyProtection="1">
      <alignment horizontal="center" vertical="center"/>
    </xf>
    <xf numFmtId="4" fontId="23" fillId="31" borderId="24" xfId="1" applyNumberFormat="1" applyFont="1" applyFill="1" applyBorder="1" applyAlignment="1" applyProtection="1">
      <alignment horizontal="center" vertical="center"/>
    </xf>
    <xf numFmtId="4" fontId="92" fillId="52" borderId="32" xfId="0" applyNumberFormat="1" applyFont="1" applyFill="1" applyBorder="1" applyAlignment="1">
      <alignment horizontal="center" vertical="center"/>
    </xf>
    <xf numFmtId="4" fontId="92" fillId="47" borderId="32" xfId="1" applyNumberFormat="1" applyFont="1" applyFill="1" applyBorder="1" applyAlignment="1" applyProtection="1">
      <alignment horizontal="center" vertical="center"/>
    </xf>
    <xf numFmtId="4" fontId="23" fillId="31" borderId="24" xfId="0" applyNumberFormat="1" applyFont="1" applyFill="1" applyBorder="1" applyAlignment="1">
      <alignment horizontal="center" vertical="center"/>
    </xf>
    <xf numFmtId="4" fontId="19" fillId="0" borderId="0" xfId="0" applyNumberFormat="1" applyFont="1" applyAlignment="1">
      <alignment horizontal="center" vertical="top"/>
    </xf>
    <xf numFmtId="4" fontId="19" fillId="0" borderId="0" xfId="0" applyNumberFormat="1" applyFont="1" applyAlignment="1">
      <alignment horizontal="center" vertical="center"/>
    </xf>
    <xf numFmtId="0" fontId="24" fillId="28" borderId="1" xfId="0" applyFont="1" applyFill="1" applyBorder="1" applyAlignment="1">
      <alignment horizontal="justify" vertical="center" wrapText="1"/>
    </xf>
    <xf numFmtId="0" fontId="24" fillId="25" borderId="35" xfId="0" applyFont="1" applyFill="1" applyBorder="1" applyAlignment="1">
      <alignment horizontal="center" vertical="center"/>
    </xf>
    <xf numFmtId="4" fontId="61" fillId="35" borderId="36" xfId="0" applyNumberFormat="1" applyFont="1" applyFill="1" applyBorder="1" applyAlignment="1">
      <alignment horizontal="right" vertical="center"/>
    </xf>
    <xf numFmtId="4" fontId="61" fillId="35" borderId="45" xfId="0" applyNumberFormat="1" applyFont="1" applyFill="1" applyBorder="1" applyAlignment="1">
      <alignment horizontal="right" vertical="center"/>
    </xf>
    <xf numFmtId="0" fontId="24" fillId="0" borderId="22" xfId="0" applyFont="1" applyBorder="1" applyAlignment="1">
      <alignment vertical="center"/>
    </xf>
    <xf numFmtId="1" fontId="61" fillId="35" borderId="1" xfId="0" applyNumberFormat="1" applyFont="1" applyFill="1" applyBorder="1" applyAlignment="1">
      <alignment horizontal="center" vertical="top" wrapText="1"/>
    </xf>
    <xf numFmtId="0" fontId="61" fillId="35" borderId="21" xfId="0" applyFont="1" applyFill="1" applyBorder="1" applyAlignment="1">
      <alignment horizontal="center" vertical="top" wrapText="1"/>
    </xf>
    <xf numFmtId="0" fontId="61" fillId="35" borderId="1" xfId="0" applyFont="1" applyFill="1" applyBorder="1" applyAlignment="1">
      <alignment horizontal="center" vertical="top" wrapText="1"/>
    </xf>
    <xf numFmtId="0" fontId="61" fillId="47" borderId="28" xfId="0" applyFont="1" applyFill="1" applyBorder="1" applyAlignment="1">
      <alignment horizontal="center" vertical="center" wrapText="1"/>
    </xf>
    <xf numFmtId="0" fontId="61" fillId="47" borderId="0" xfId="0" applyFont="1" applyFill="1" applyAlignment="1">
      <alignment horizontal="center" vertical="center" wrapText="1"/>
    </xf>
    <xf numFmtId="4" fontId="60" fillId="47" borderId="39" xfId="0" applyNumberFormat="1" applyFont="1" applyFill="1" applyBorder="1" applyAlignment="1">
      <alignment horizontal="center" vertical="center" wrapText="1"/>
    </xf>
    <xf numFmtId="0" fontId="26" fillId="25" borderId="35" xfId="0" applyFont="1" applyFill="1" applyBorder="1" applyAlignment="1">
      <alignment horizontal="center" vertical="center" wrapText="1"/>
    </xf>
    <xf numFmtId="0" fontId="26" fillId="25" borderId="33" xfId="0" applyFont="1" applyFill="1" applyBorder="1" applyAlignment="1">
      <alignment horizontal="center" vertical="center" wrapText="1"/>
    </xf>
    <xf numFmtId="4" fontId="62" fillId="47" borderId="36" xfId="0" applyNumberFormat="1" applyFont="1" applyFill="1" applyBorder="1" applyAlignment="1">
      <alignment horizontal="center" vertical="center" wrapText="1"/>
    </xf>
    <xf numFmtId="4" fontId="55" fillId="21" borderId="25" xfId="0" applyNumberFormat="1" applyFont="1" applyFill="1" applyBorder="1" applyAlignment="1">
      <alignment horizontal="center" vertical="center" wrapText="1"/>
    </xf>
    <xf numFmtId="0" fontId="26" fillId="25" borderId="21" xfId="0" applyFont="1" applyFill="1" applyBorder="1" applyAlignment="1" applyProtection="1">
      <alignment horizontal="left" vertical="center" wrapText="1"/>
      <protection locked="0"/>
    </xf>
    <xf numFmtId="0" fontId="26" fillId="22" borderId="21" xfId="0" applyFont="1" applyFill="1" applyBorder="1" applyAlignment="1" applyProtection="1">
      <alignment horizontal="left" vertical="center" wrapText="1"/>
      <protection locked="0"/>
    </xf>
    <xf numFmtId="0" fontId="26" fillId="25" borderId="21" xfId="0" applyFont="1" applyFill="1" applyBorder="1" applyAlignment="1" applyProtection="1">
      <alignment horizontal="justify" vertical="center" wrapText="1"/>
      <protection locked="0"/>
    </xf>
    <xf numFmtId="0" fontId="47" fillId="16" borderId="21" xfId="0" applyFont="1" applyFill="1" applyBorder="1" applyAlignment="1" applyProtection="1">
      <alignment horizontal="center" vertical="top" wrapText="1"/>
      <protection locked="0"/>
    </xf>
    <xf numFmtId="0" fontId="17" fillId="48" borderId="35" xfId="0" applyFont="1" applyFill="1" applyBorder="1" applyAlignment="1">
      <alignment horizontal="center" vertical="center"/>
    </xf>
    <xf numFmtId="0" fontId="17" fillId="48" borderId="33" xfId="0" applyFont="1" applyFill="1" applyBorder="1" applyAlignment="1">
      <alignment horizontal="center" vertical="center"/>
    </xf>
    <xf numFmtId="0" fontId="17" fillId="15" borderId="35" xfId="0" applyFont="1" applyFill="1" applyBorder="1" applyAlignment="1">
      <alignment horizontal="center" vertical="center"/>
    </xf>
    <xf numFmtId="0" fontId="50" fillId="0" borderId="1" xfId="0" applyFont="1" applyBorder="1" applyAlignment="1">
      <alignment vertical="justify" wrapText="1"/>
    </xf>
    <xf numFmtId="0" fontId="77" fillId="0" borderId="1" xfId="0" applyFont="1" applyBorder="1" applyAlignment="1">
      <alignment horizontal="justify" vertical="top" wrapText="1"/>
    </xf>
    <xf numFmtId="0" fontId="27" fillId="0" borderId="0" xfId="0" applyFont="1"/>
    <xf numFmtId="49" fontId="55" fillId="0" borderId="21" xfId="0" applyNumberFormat="1" applyFont="1" applyBorder="1" applyAlignment="1">
      <alignment horizontal="right" vertical="center" wrapText="1"/>
    </xf>
    <xf numFmtId="49" fontId="55" fillId="0" borderId="22" xfId="0" applyNumberFormat="1" applyFont="1" applyBorder="1" applyAlignment="1">
      <alignment horizontal="right" vertical="center" wrapText="1"/>
    </xf>
    <xf numFmtId="0" fontId="27" fillId="0" borderId="0" xfId="0" applyFont="1" applyAlignment="1">
      <alignment horizontal="center"/>
    </xf>
    <xf numFmtId="177" fontId="93" fillId="20" borderId="0" xfId="0" applyNumberFormat="1" applyFont="1" applyFill="1" applyBorder="1" applyAlignment="1">
      <alignment horizontal="center" vertical="center"/>
    </xf>
    <xf numFmtId="10" fontId="93" fillId="11" borderId="24" xfId="0" applyNumberFormat="1" applyFont="1" applyFill="1" applyBorder="1" applyAlignment="1">
      <alignment horizontal="center" vertical="center"/>
    </xf>
    <xf numFmtId="176" fontId="93" fillId="11" borderId="24" xfId="0" applyNumberFormat="1" applyFont="1" applyFill="1" applyBorder="1" applyAlignment="1">
      <alignment horizontal="center" vertical="center"/>
    </xf>
    <xf numFmtId="4" fontId="27" fillId="0" borderId="0" xfId="0" applyNumberFormat="1" applyFont="1"/>
    <xf numFmtId="0" fontId="27" fillId="0" borderId="0" xfId="0" applyFont="1" applyFill="1"/>
    <xf numFmtId="180" fontId="52" fillId="11" borderId="35" xfId="0" applyNumberFormat="1" applyFont="1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27" fillId="14" borderId="6" xfId="0" applyFont="1" applyFill="1" applyBorder="1" applyAlignment="1">
      <alignment horizontal="center" vertical="center"/>
    </xf>
    <xf numFmtId="0" fontId="27" fillId="14" borderId="24" xfId="0" applyFont="1" applyFill="1" applyBorder="1" applyAlignment="1">
      <alignment horizontal="center" vertical="center"/>
    </xf>
    <xf numFmtId="14" fontId="27" fillId="0" borderId="0" xfId="0" applyNumberFormat="1" applyFont="1"/>
    <xf numFmtId="14" fontId="27" fillId="0" borderId="0" xfId="0" applyNumberFormat="1" applyFont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0" xfId="0" applyNumberFormat="1" applyFont="1" applyAlignment="1">
      <alignment horizontal="center"/>
    </xf>
    <xf numFmtId="4" fontId="27" fillId="26" borderId="24" xfId="0" applyNumberFormat="1" applyFont="1" applyFill="1" applyBorder="1" applyAlignment="1">
      <alignment horizontal="center" vertical="center"/>
    </xf>
    <xf numFmtId="4" fontId="14" fillId="26" borderId="24" xfId="0" applyNumberFormat="1" applyFont="1" applyFill="1" applyBorder="1" applyAlignment="1">
      <alignment horizontal="center" vertical="center"/>
    </xf>
    <xf numFmtId="4" fontId="14" fillId="20" borderId="21" xfId="0" applyNumberFormat="1" applyFont="1" applyFill="1" applyBorder="1" applyAlignment="1">
      <alignment horizontal="center" vertical="top"/>
    </xf>
    <xf numFmtId="4" fontId="27" fillId="26" borderId="21" xfId="0" applyNumberFormat="1" applyFont="1" applyFill="1" applyBorder="1" applyAlignment="1">
      <alignment horizontal="center" vertical="center"/>
    </xf>
    <xf numFmtId="0" fontId="27" fillId="26" borderId="24" xfId="0" applyFont="1" applyFill="1" applyBorder="1" applyAlignment="1">
      <alignment horizontal="center" vertical="center"/>
    </xf>
    <xf numFmtId="0" fontId="14" fillId="0" borderId="24" xfId="0" applyFont="1" applyBorder="1" applyAlignment="1">
      <alignment horizontal="right" vertical="center"/>
    </xf>
    <xf numFmtId="0" fontId="14" fillId="0" borderId="24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/>
    </xf>
    <xf numFmtId="0" fontId="43" fillId="11" borderId="24" xfId="0" applyNumberFormat="1" applyFont="1" applyFill="1" applyBorder="1" applyAlignment="1">
      <alignment horizontal="center" vertical="center"/>
    </xf>
    <xf numFmtId="180" fontId="52" fillId="11" borderId="6" xfId="0" applyNumberFormat="1" applyFont="1" applyFill="1" applyBorder="1" applyAlignment="1">
      <alignment horizontal="center" vertical="center"/>
    </xf>
    <xf numFmtId="0" fontId="43" fillId="11" borderId="24" xfId="0" applyFont="1" applyFill="1" applyBorder="1" applyAlignment="1">
      <alignment horizontal="center" vertical="center"/>
    </xf>
    <xf numFmtId="10" fontId="55" fillId="19" borderId="21" xfId="0" applyNumberFormat="1" applyFont="1" applyFill="1" applyBorder="1" applyAlignment="1">
      <alignment horizontal="center" vertical="center"/>
    </xf>
    <xf numFmtId="10" fontId="55" fillId="42" borderId="21" xfId="0" applyNumberFormat="1" applyFont="1" applyFill="1" applyBorder="1" applyAlignment="1">
      <alignment horizontal="center" vertical="center"/>
    </xf>
    <xf numFmtId="49" fontId="93" fillId="0" borderId="0" xfId="0" applyNumberFormat="1" applyFont="1" applyBorder="1" applyAlignment="1">
      <alignment horizontal="right" vertical="center" wrapText="1"/>
    </xf>
    <xf numFmtId="4" fontId="27" fillId="26" borderId="24" xfId="0" applyNumberFormat="1" applyFont="1" applyFill="1" applyBorder="1" applyAlignment="1">
      <alignment horizontal="right" vertical="center"/>
    </xf>
    <xf numFmtId="0" fontId="27" fillId="0" borderId="0" xfId="0" applyFont="1" applyAlignment="1"/>
    <xf numFmtId="0" fontId="22" fillId="59" borderId="16" xfId="0" applyNumberFormat="1" applyFont="1" applyFill="1" applyBorder="1" applyAlignment="1">
      <alignment vertical="center"/>
    </xf>
    <xf numFmtId="0" fontId="95" fillId="0" borderId="0" xfId="0" applyFont="1"/>
    <xf numFmtId="14" fontId="27" fillId="26" borderId="24" xfId="0" applyNumberFormat="1" applyFont="1" applyFill="1" applyBorder="1" applyAlignment="1">
      <alignment horizontal="center" vertical="center"/>
    </xf>
    <xf numFmtId="14" fontId="27" fillId="26" borderId="21" xfId="0" applyNumberFormat="1" applyFont="1" applyFill="1" applyBorder="1" applyAlignment="1">
      <alignment horizontal="center" vertical="center"/>
    </xf>
    <xf numFmtId="4" fontId="27" fillId="26" borderId="35" xfId="0" applyNumberFormat="1" applyFont="1" applyFill="1" applyBorder="1" applyAlignment="1">
      <alignment horizontal="right" vertical="center"/>
    </xf>
    <xf numFmtId="4" fontId="27" fillId="26" borderId="6" xfId="0" applyNumberFormat="1" applyFont="1" applyFill="1" applyBorder="1" applyAlignment="1">
      <alignment horizontal="right" vertical="center"/>
    </xf>
    <xf numFmtId="10" fontId="23" fillId="11" borderId="21" xfId="0" applyNumberFormat="1" applyFont="1" applyFill="1" applyBorder="1" applyAlignment="1">
      <alignment horizontal="center" vertical="center"/>
    </xf>
    <xf numFmtId="0" fontId="14" fillId="26" borderId="24" xfId="0" applyFont="1" applyFill="1" applyBorder="1" applyAlignment="1">
      <alignment horizontal="center" wrapText="1"/>
    </xf>
    <xf numFmtId="0" fontId="14" fillId="26" borderId="24" xfId="0" applyFont="1" applyFill="1" applyBorder="1" applyAlignment="1">
      <alignment horizontal="center" vertical="center" wrapText="1"/>
    </xf>
    <xf numFmtId="49" fontId="27" fillId="26" borderId="24" xfId="0" applyNumberFormat="1" applyFont="1" applyFill="1" applyBorder="1" applyAlignment="1">
      <alignment vertical="center"/>
    </xf>
    <xf numFmtId="0" fontId="27" fillId="26" borderId="24" xfId="0" applyNumberFormat="1" applyFont="1" applyFill="1" applyBorder="1" applyAlignment="1">
      <alignment horizontal="center" vertical="center"/>
    </xf>
    <xf numFmtId="0" fontId="27" fillId="26" borderId="24" xfId="0" applyFont="1" applyFill="1" applyBorder="1" applyAlignment="1">
      <alignment vertical="center"/>
    </xf>
    <xf numFmtId="0" fontId="27" fillId="0" borderId="0" xfId="0" applyFont="1" applyAlignment="1">
      <alignment horizontal="justify" vertical="center"/>
    </xf>
    <xf numFmtId="49" fontId="94" fillId="0" borderId="0" xfId="0" applyNumberFormat="1" applyFont="1" applyBorder="1" applyAlignment="1">
      <alignment horizontal="justify" vertical="center" wrapText="1"/>
    </xf>
    <xf numFmtId="0" fontId="14" fillId="14" borderId="24" xfId="0" applyFont="1" applyFill="1" applyBorder="1" applyAlignment="1">
      <alignment horizontal="center" vertical="center"/>
    </xf>
    <xf numFmtId="49" fontId="14" fillId="14" borderId="24" xfId="0" applyNumberFormat="1" applyFont="1" applyFill="1" applyBorder="1" applyAlignment="1">
      <alignment horizontal="center" vertical="center" wrapText="1"/>
    </xf>
    <xf numFmtId="0" fontId="14" fillId="14" borderId="6" xfId="0" applyFont="1" applyFill="1" applyBorder="1" applyAlignment="1">
      <alignment horizontal="center" vertical="center"/>
    </xf>
    <xf numFmtId="49" fontId="14" fillId="20" borderId="33" xfId="0" applyNumberFormat="1" applyFont="1" applyFill="1" applyBorder="1" applyAlignment="1">
      <alignment horizontal="center" vertical="center" wrapText="1"/>
    </xf>
    <xf numFmtId="4" fontId="14" fillId="26" borderId="21" xfId="0" applyNumberFormat="1" applyFont="1" applyFill="1" applyBorder="1" applyAlignment="1">
      <alignment horizontal="center" vertical="center"/>
    </xf>
    <xf numFmtId="0" fontId="14" fillId="11" borderId="21" xfId="0" applyFont="1" applyFill="1" applyBorder="1" applyAlignment="1">
      <alignment horizontal="center" vertical="center" wrapText="1"/>
    </xf>
    <xf numFmtId="4" fontId="27" fillId="11" borderId="21" xfId="0" applyNumberFormat="1" applyFont="1" applyFill="1" applyBorder="1" applyAlignment="1">
      <alignment horizontal="center" vertical="center"/>
    </xf>
    <xf numFmtId="0" fontId="14" fillId="11" borderId="21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center" vertical="top" wrapText="1"/>
    </xf>
    <xf numFmtId="14" fontId="27" fillId="26" borderId="23" xfId="0" applyNumberFormat="1" applyFont="1" applyFill="1" applyBorder="1" applyAlignment="1">
      <alignment horizontal="center" vertical="center"/>
    </xf>
    <xf numFmtId="4" fontId="14" fillId="20" borderId="35" xfId="0" applyNumberFormat="1" applyFont="1" applyFill="1" applyBorder="1" applyAlignment="1">
      <alignment horizontal="center" vertical="center"/>
    </xf>
    <xf numFmtId="4" fontId="27" fillId="20" borderId="12" xfId="0" applyNumberFormat="1" applyFont="1" applyFill="1" applyBorder="1" applyAlignment="1">
      <alignment horizontal="center" vertical="center"/>
    </xf>
    <xf numFmtId="0" fontId="14" fillId="20" borderId="12" xfId="0" applyFont="1" applyFill="1" applyBorder="1" applyAlignment="1">
      <alignment horizontal="center" vertical="center" wrapText="1"/>
    </xf>
    <xf numFmtId="0" fontId="14" fillId="20" borderId="12" xfId="0" applyFont="1" applyFill="1" applyBorder="1" applyAlignment="1">
      <alignment horizontal="center" vertical="center"/>
    </xf>
    <xf numFmtId="4" fontId="27" fillId="20" borderId="6" xfId="0" applyNumberFormat="1" applyFont="1" applyFill="1" applyBorder="1" applyAlignment="1">
      <alignment horizontal="center" vertical="center"/>
    </xf>
    <xf numFmtId="49" fontId="55" fillId="0" borderId="33" xfId="0" applyNumberFormat="1" applyFont="1" applyBorder="1" applyAlignment="1">
      <alignment horizontal="justify" vertical="center" wrapText="1"/>
    </xf>
    <xf numFmtId="4" fontId="57" fillId="47" borderId="54" xfId="1" applyNumberFormat="1" applyFont="1" applyFill="1" applyBorder="1" applyAlignment="1" applyProtection="1">
      <alignment horizontal="center" vertical="center"/>
    </xf>
    <xf numFmtId="0" fontId="31" fillId="5" borderId="35" xfId="0" applyFont="1" applyFill="1" applyBorder="1" applyAlignment="1">
      <alignment horizontal="center" vertical="center"/>
    </xf>
    <xf numFmtId="0" fontId="31" fillId="5" borderId="35" xfId="0" applyFont="1" applyFill="1" applyBorder="1" applyAlignment="1">
      <alignment horizontal="justify" vertical="top" wrapText="1"/>
    </xf>
    <xf numFmtId="0" fontId="31" fillId="5" borderId="35" xfId="0" applyFont="1" applyFill="1" applyBorder="1" applyAlignment="1">
      <alignment horizontal="center" vertical="center" wrapText="1"/>
    </xf>
    <xf numFmtId="0" fontId="27" fillId="5" borderId="33" xfId="0" applyFont="1" applyFill="1" applyBorder="1" applyAlignment="1">
      <alignment horizontal="center" vertical="center" wrapText="1"/>
    </xf>
    <xf numFmtId="4" fontId="92" fillId="52" borderId="36" xfId="0" applyNumberFormat="1" applyFont="1" applyFill="1" applyBorder="1" applyAlignment="1">
      <alignment horizontal="center" vertical="center"/>
    </xf>
    <xf numFmtId="4" fontId="57" fillId="47" borderId="53" xfId="0" applyNumberFormat="1" applyFont="1" applyFill="1" applyBorder="1" applyAlignment="1">
      <alignment horizontal="center" vertical="center"/>
    </xf>
    <xf numFmtId="0" fontId="27" fillId="5" borderId="35" xfId="0" applyFont="1" applyFill="1" applyBorder="1" applyAlignment="1">
      <alignment horizontal="center" vertical="center"/>
    </xf>
    <xf numFmtId="0" fontId="27" fillId="5" borderId="35" xfId="0" applyFont="1" applyFill="1" applyBorder="1" applyAlignment="1">
      <alignment horizontal="justify" vertical="top" wrapText="1"/>
    </xf>
    <xf numFmtId="0" fontId="27" fillId="5" borderId="35" xfId="0" applyFont="1" applyFill="1" applyBorder="1" applyAlignment="1">
      <alignment horizontal="center" vertical="center" wrapText="1"/>
    </xf>
    <xf numFmtId="4" fontId="57" fillId="47" borderId="39" xfId="1" applyNumberFormat="1" applyFont="1" applyFill="1" applyBorder="1" applyAlignment="1" applyProtection="1">
      <alignment horizontal="center" vertical="center"/>
    </xf>
    <xf numFmtId="0" fontId="31" fillId="5" borderId="35" xfId="0" applyFont="1" applyFill="1" applyBorder="1" applyAlignment="1">
      <alignment horizontal="justify" vertical="center" wrapText="1"/>
    </xf>
    <xf numFmtId="0" fontId="22" fillId="59" borderId="16" xfId="0" applyNumberFormat="1" applyFont="1" applyFill="1" applyBorder="1" applyAlignment="1">
      <alignment vertical="center"/>
    </xf>
    <xf numFmtId="0" fontId="71" fillId="0" borderId="0" xfId="0" applyFont="1" applyAlignment="1" applyProtection="1">
      <alignment horizontal="center" vertical="center"/>
    </xf>
    <xf numFmtId="0" fontId="14" fillId="0" borderId="0" xfId="0" applyFont="1" applyBorder="1" applyAlignment="1">
      <alignment horizontal="justify" vertical="center" wrapText="1"/>
    </xf>
    <xf numFmtId="0" fontId="69" fillId="57" borderId="16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4" fillId="58" borderId="16" xfId="0" applyFont="1" applyFill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14" fillId="58" borderId="16" xfId="0" applyFont="1" applyFill="1" applyBorder="1" applyAlignment="1" applyProtection="1">
      <alignment horizontal="right" vertical="center" wrapText="1"/>
    </xf>
    <xf numFmtId="0" fontId="14" fillId="60" borderId="16" xfId="0" applyFont="1" applyFill="1" applyBorder="1" applyAlignment="1" applyProtection="1">
      <alignment horizontal="center" vertical="center"/>
    </xf>
    <xf numFmtId="0" fontId="27" fillId="0" borderId="16" xfId="0" applyFont="1" applyBorder="1" applyAlignment="1">
      <alignment horizontal="justify" vertical="center"/>
    </xf>
    <xf numFmtId="0" fontId="14" fillId="58" borderId="16" xfId="0" applyFont="1" applyFill="1" applyBorder="1" applyAlignment="1" applyProtection="1">
      <alignment horizontal="center" vertical="center" wrapText="1"/>
    </xf>
    <xf numFmtId="0" fontId="27" fillId="75" borderId="55" xfId="0" applyFont="1" applyFill="1" applyBorder="1" applyAlignment="1" applyProtection="1">
      <alignment horizontal="center" wrapText="1"/>
    </xf>
    <xf numFmtId="0" fontId="27" fillId="75" borderId="56" xfId="0" applyFont="1" applyFill="1" applyBorder="1" applyAlignment="1" applyProtection="1">
      <alignment horizontal="center" wrapText="1"/>
    </xf>
    <xf numFmtId="0" fontId="27" fillId="75" borderId="57" xfId="0" applyFont="1" applyFill="1" applyBorder="1" applyAlignment="1" applyProtection="1">
      <alignment horizontal="center" wrapText="1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49" fontId="22" fillId="59" borderId="18" xfId="0" applyNumberFormat="1" applyFont="1" applyFill="1" applyBorder="1" applyAlignment="1" applyProtection="1">
      <alignment horizontal="center" vertical="center" wrapText="1"/>
      <protection locked="0"/>
    </xf>
    <xf numFmtId="49" fontId="22" fillId="59" borderId="19" xfId="0" applyNumberFormat="1" applyFont="1" applyFill="1" applyBorder="1" applyAlignment="1" applyProtection="1">
      <alignment horizontal="center" vertical="center" wrapText="1"/>
      <protection locked="0"/>
    </xf>
    <xf numFmtId="49" fontId="22" fillId="59" borderId="20" xfId="0" applyNumberFormat="1" applyFont="1" applyFill="1" applyBorder="1" applyAlignment="1" applyProtection="1">
      <alignment horizontal="center" vertical="center" wrapText="1"/>
      <protection locked="0"/>
    </xf>
    <xf numFmtId="0" fontId="22" fillId="59" borderId="18" xfId="0" applyNumberFormat="1" applyFont="1" applyFill="1" applyBorder="1" applyAlignment="1">
      <alignment horizontal="center" vertical="center"/>
    </xf>
    <xf numFmtId="0" fontId="22" fillId="59" borderId="19" xfId="0" applyNumberFormat="1" applyFont="1" applyFill="1" applyBorder="1" applyAlignment="1">
      <alignment horizontal="center" vertical="center"/>
    </xf>
    <xf numFmtId="0" fontId="22" fillId="59" borderId="20" xfId="0" applyNumberFormat="1" applyFont="1" applyFill="1" applyBorder="1" applyAlignment="1">
      <alignment horizontal="center" vertical="center"/>
    </xf>
    <xf numFmtId="0" fontId="38" fillId="0" borderId="16" xfId="0" applyFont="1" applyBorder="1" applyAlignment="1" applyProtection="1">
      <alignment horizontal="center" vertical="center" wrapText="1"/>
    </xf>
    <xf numFmtId="164" fontId="70" fillId="0" borderId="16" xfId="0" applyNumberFormat="1" applyFont="1" applyBorder="1" applyAlignment="1" applyProtection="1">
      <alignment horizontal="center" vertical="center" wrapText="1"/>
    </xf>
    <xf numFmtId="164" fontId="22" fillId="76" borderId="58" xfId="0" applyNumberFormat="1" applyFont="1" applyFill="1" applyBorder="1" applyAlignment="1">
      <alignment horizontal="center" wrapText="1"/>
    </xf>
    <xf numFmtId="0" fontId="22" fillId="76" borderId="58" xfId="0" applyNumberFormat="1" applyFont="1" applyFill="1" applyBorder="1" applyAlignment="1">
      <alignment horizontal="center" wrapText="1"/>
    </xf>
    <xf numFmtId="0" fontId="22" fillId="59" borderId="16" xfId="0" applyNumberFormat="1" applyFont="1" applyFill="1" applyBorder="1" applyAlignment="1" applyProtection="1">
      <alignment horizontal="center" vertical="center"/>
    </xf>
    <xf numFmtId="0" fontId="22" fillId="59" borderId="18" xfId="0" applyNumberFormat="1" applyFont="1" applyFill="1" applyBorder="1" applyAlignment="1" applyProtection="1">
      <alignment horizontal="center"/>
    </xf>
    <xf numFmtId="0" fontId="22" fillId="59" borderId="19" xfId="0" applyNumberFormat="1" applyFont="1" applyFill="1" applyBorder="1" applyAlignment="1" applyProtection="1">
      <alignment horizontal="center"/>
    </xf>
    <xf numFmtId="0" fontId="22" fillId="59" borderId="20" xfId="0" applyNumberFormat="1" applyFont="1" applyFill="1" applyBorder="1" applyAlignment="1" applyProtection="1">
      <alignment horizontal="center"/>
    </xf>
    <xf numFmtId="0" fontId="14" fillId="0" borderId="16" xfId="2" applyNumberFormat="1" applyFont="1" applyBorder="1" applyAlignment="1" applyProtection="1">
      <alignment vertical="center" wrapText="1"/>
    </xf>
    <xf numFmtId="0" fontId="27" fillId="0" borderId="16" xfId="2" applyNumberFormat="1" applyFont="1" applyBorder="1" applyAlignment="1" applyProtection="1">
      <alignment vertical="center" wrapText="1"/>
    </xf>
    <xf numFmtId="0" fontId="16" fillId="18" borderId="1" xfId="0" applyFont="1" applyFill="1" applyBorder="1" applyAlignment="1">
      <alignment horizontal="center" vertical="top" wrapText="1"/>
    </xf>
    <xf numFmtId="0" fontId="50" fillId="46" borderId="24" xfId="0" applyFont="1" applyFill="1" applyBorder="1" applyAlignment="1" applyProtection="1">
      <alignment horizontal="center" vertical="center"/>
      <protection locked="0"/>
    </xf>
    <xf numFmtId="0" fontId="58" fillId="36" borderId="47" xfId="0" applyFont="1" applyFill="1" applyBorder="1" applyAlignment="1">
      <alignment horizontal="right" vertical="center" wrapText="1"/>
    </xf>
    <xf numFmtId="0" fontId="58" fillId="36" borderId="48" xfId="0" applyFont="1" applyFill="1" applyBorder="1" applyAlignment="1">
      <alignment horizontal="right" vertical="center" wrapText="1"/>
    </xf>
    <xf numFmtId="0" fontId="17" fillId="16" borderId="1" xfId="0" applyFont="1" applyFill="1" applyBorder="1" applyAlignment="1">
      <alignment horizontal="center" vertical="center" wrapText="1"/>
    </xf>
    <xf numFmtId="0" fontId="17" fillId="16" borderId="35" xfId="0" applyFont="1" applyFill="1" applyBorder="1" applyAlignment="1">
      <alignment horizontal="center" vertical="center" wrapText="1"/>
    </xf>
    <xf numFmtId="0" fontId="24" fillId="48" borderId="2" xfId="0" applyFont="1" applyFill="1" applyBorder="1" applyAlignment="1">
      <alignment horizontal="center" vertical="center" wrapText="1"/>
    </xf>
    <xf numFmtId="0" fontId="24" fillId="28" borderId="1" xfId="0" applyFont="1" applyFill="1" applyBorder="1" applyAlignment="1">
      <alignment horizontal="left" vertical="center" wrapText="1"/>
    </xf>
    <xf numFmtId="0" fontId="24" fillId="13" borderId="1" xfId="0" applyFont="1" applyFill="1" applyBorder="1" applyAlignment="1">
      <alignment horizontal="right" vertical="center" wrapText="1"/>
    </xf>
    <xf numFmtId="0" fontId="24" fillId="13" borderId="21" xfId="0" applyFont="1" applyFill="1" applyBorder="1" applyAlignment="1">
      <alignment horizontal="right" vertical="center" wrapText="1"/>
    </xf>
    <xf numFmtId="0" fontId="17" fillId="17" borderId="2" xfId="0" applyFont="1" applyFill="1" applyBorder="1" applyAlignment="1">
      <alignment horizontal="right" vertical="center" wrapText="1"/>
    </xf>
    <xf numFmtId="0" fontId="17" fillId="17" borderId="1" xfId="0" applyFont="1" applyFill="1" applyBorder="1" applyAlignment="1">
      <alignment horizontal="right" vertical="center" wrapText="1"/>
    </xf>
    <xf numFmtId="0" fontId="17" fillId="17" borderId="14" xfId="0" applyFont="1" applyFill="1" applyBorder="1" applyAlignment="1">
      <alignment horizontal="right" vertical="center" wrapText="1"/>
    </xf>
    <xf numFmtId="0" fontId="17" fillId="17" borderId="13" xfId="0" applyFont="1" applyFill="1" applyBorder="1" applyAlignment="1">
      <alignment horizontal="right" vertical="center" wrapText="1"/>
    </xf>
    <xf numFmtId="0" fontId="17" fillId="17" borderId="35" xfId="0" applyFont="1" applyFill="1" applyBorder="1" applyAlignment="1">
      <alignment horizontal="right" vertical="center" wrapText="1"/>
    </xf>
    <xf numFmtId="0" fontId="57" fillId="36" borderId="28" xfId="0" applyFont="1" applyFill="1" applyBorder="1" applyAlignment="1">
      <alignment horizontal="right" vertical="center" wrapText="1"/>
    </xf>
    <xf numFmtId="0" fontId="57" fillId="36" borderId="54" xfId="0" applyFont="1" applyFill="1" applyBorder="1" applyAlignment="1">
      <alignment horizontal="right" vertical="center" wrapText="1"/>
    </xf>
    <xf numFmtId="0" fontId="57" fillId="36" borderId="39" xfId="0" applyFont="1" applyFill="1" applyBorder="1" applyAlignment="1">
      <alignment horizontal="right" vertical="center" wrapText="1"/>
    </xf>
    <xf numFmtId="0" fontId="13" fillId="26" borderId="24" xfId="0" applyFont="1" applyFill="1" applyBorder="1" applyAlignment="1">
      <alignment horizontal="center" vertical="center" wrapText="1"/>
    </xf>
    <xf numFmtId="0" fontId="43" fillId="27" borderId="0" xfId="0" applyFont="1" applyFill="1" applyAlignment="1">
      <alignment horizontal="left" vertical="top"/>
    </xf>
    <xf numFmtId="0" fontId="14" fillId="27" borderId="0" xfId="0" applyFont="1" applyFill="1" applyAlignment="1">
      <alignment horizontal="justify" vertical="center" wrapText="1"/>
    </xf>
    <xf numFmtId="0" fontId="36" fillId="14" borderId="0" xfId="0" applyFont="1" applyFill="1" applyAlignment="1">
      <alignment horizontal="justify" vertical="center" wrapText="1"/>
    </xf>
    <xf numFmtId="0" fontId="26" fillId="25" borderId="7" xfId="0" applyFont="1" applyFill="1" applyBorder="1" applyAlignment="1">
      <alignment horizontal="center" vertical="center"/>
    </xf>
    <xf numFmtId="0" fontId="26" fillId="25" borderId="12" xfId="0" applyFont="1" applyFill="1" applyBorder="1" applyAlignment="1">
      <alignment horizontal="center" vertical="center"/>
    </xf>
    <xf numFmtId="0" fontId="58" fillId="47" borderId="32" xfId="0" applyFont="1" applyFill="1" applyBorder="1" applyAlignment="1">
      <alignment horizontal="center" vertical="top"/>
    </xf>
    <xf numFmtId="0" fontId="26" fillId="15" borderId="3" xfId="0" applyFont="1" applyFill="1" applyBorder="1" applyAlignment="1">
      <alignment horizontal="right" vertical="center" wrapText="1"/>
    </xf>
    <xf numFmtId="0" fontId="26" fillId="15" borderId="10" xfId="0" applyFont="1" applyFill="1" applyBorder="1" applyAlignment="1">
      <alignment horizontal="right" vertical="center" wrapText="1"/>
    </xf>
    <xf numFmtId="0" fontId="26" fillId="15" borderId="0" xfId="0" applyFont="1" applyFill="1" applyBorder="1" applyAlignment="1">
      <alignment horizontal="right" vertical="center" wrapText="1"/>
    </xf>
    <xf numFmtId="0" fontId="57" fillId="47" borderId="21" xfId="0" applyFont="1" applyFill="1" applyBorder="1" applyAlignment="1">
      <alignment horizontal="right" vertical="center"/>
    </xf>
    <xf numFmtId="0" fontId="57" fillId="47" borderId="22" xfId="0" applyFont="1" applyFill="1" applyBorder="1" applyAlignment="1">
      <alignment horizontal="right" vertical="center"/>
    </xf>
    <xf numFmtId="0" fontId="57" fillId="47" borderId="23" xfId="0" applyFont="1" applyFill="1" applyBorder="1" applyAlignment="1">
      <alignment horizontal="right" vertical="center"/>
    </xf>
    <xf numFmtId="0" fontId="16" fillId="16" borderId="12" xfId="0" applyFont="1" applyFill="1" applyBorder="1" applyAlignment="1">
      <alignment horizontal="center" vertical="top" wrapText="1"/>
    </xf>
    <xf numFmtId="0" fontId="16" fillId="16" borderId="6" xfId="0" applyFont="1" applyFill="1" applyBorder="1" applyAlignment="1">
      <alignment horizontal="center" vertical="top" wrapText="1"/>
    </xf>
    <xf numFmtId="0" fontId="16" fillId="16" borderId="1" xfId="0" applyFont="1" applyFill="1" applyBorder="1" applyAlignment="1">
      <alignment horizontal="center" vertical="top" wrapText="1"/>
    </xf>
    <xf numFmtId="0" fontId="16" fillId="16" borderId="9" xfId="0" applyFont="1" applyFill="1" applyBorder="1" applyAlignment="1">
      <alignment horizontal="center" vertical="top" wrapText="1"/>
    </xf>
    <xf numFmtId="0" fontId="16" fillId="16" borderId="21" xfId="0" applyFont="1" applyFill="1" applyBorder="1" applyAlignment="1">
      <alignment horizontal="center" vertical="top" wrapText="1"/>
    </xf>
    <xf numFmtId="0" fontId="21" fillId="75" borderId="21" xfId="0" applyFont="1" applyFill="1" applyBorder="1" applyAlignment="1" applyProtection="1">
      <alignment horizontal="center" vertical="center" wrapText="1"/>
      <protection locked="0"/>
    </xf>
    <xf numFmtId="0" fontId="21" fillId="75" borderId="22" xfId="0" applyFont="1" applyFill="1" applyBorder="1" applyAlignment="1" applyProtection="1">
      <alignment horizontal="center" vertical="center" wrapText="1"/>
      <protection locked="0"/>
    </xf>
    <xf numFmtId="0" fontId="16" fillId="16" borderId="35" xfId="0" applyFont="1" applyFill="1" applyBorder="1" applyAlignment="1" applyProtection="1">
      <alignment horizontal="center" vertical="center"/>
      <protection locked="0"/>
    </xf>
    <xf numFmtId="0" fontId="16" fillId="16" borderId="12" xfId="0" applyFont="1" applyFill="1" applyBorder="1" applyAlignment="1" applyProtection="1">
      <alignment horizontal="center" vertical="center"/>
      <protection locked="0"/>
    </xf>
    <xf numFmtId="0" fontId="16" fillId="16" borderId="6" xfId="0" applyFont="1" applyFill="1" applyBorder="1" applyAlignment="1" applyProtection="1">
      <alignment horizontal="center" vertical="center"/>
      <protection locked="0"/>
    </xf>
    <xf numFmtId="0" fontId="16" fillId="14" borderId="30" xfId="0" applyFont="1" applyFill="1" applyBorder="1" applyAlignment="1">
      <alignment horizontal="right" vertical="center"/>
    </xf>
    <xf numFmtId="0" fontId="16" fillId="14" borderId="31" xfId="0" applyFont="1" applyFill="1" applyBorder="1" applyAlignment="1">
      <alignment horizontal="right" vertical="center"/>
    </xf>
    <xf numFmtId="0" fontId="82" fillId="0" borderId="0" xfId="0" applyFont="1" applyFill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left" vertical="center"/>
      <protection locked="0"/>
    </xf>
    <xf numFmtId="0" fontId="26" fillId="0" borderId="53" xfId="0" applyFont="1" applyBorder="1" applyAlignment="1" applyProtection="1">
      <alignment horizontal="left" vertical="center"/>
      <protection locked="0"/>
    </xf>
    <xf numFmtId="0" fontId="58" fillId="47" borderId="28" xfId="0" applyFont="1" applyFill="1" applyBorder="1" applyAlignment="1" applyProtection="1">
      <alignment horizontal="right" vertical="center"/>
      <protection locked="0"/>
    </xf>
    <xf numFmtId="0" fontId="58" fillId="47" borderId="54" xfId="0" applyFont="1" applyFill="1" applyBorder="1" applyAlignment="1" applyProtection="1">
      <alignment horizontal="right" vertical="center"/>
      <protection locked="0"/>
    </xf>
    <xf numFmtId="0" fontId="58" fillId="47" borderId="39" xfId="0" applyFont="1" applyFill="1" applyBorder="1" applyAlignment="1" applyProtection="1">
      <alignment horizontal="right" vertical="center"/>
      <protection locked="0"/>
    </xf>
    <xf numFmtId="0" fontId="16" fillId="25" borderId="35" xfId="0" applyFont="1" applyFill="1" applyBorder="1" applyAlignment="1" applyProtection="1">
      <alignment horizontal="center" vertical="center"/>
      <protection locked="0"/>
    </xf>
    <xf numFmtId="0" fontId="16" fillId="25" borderId="12" xfId="0" applyFont="1" applyFill="1" applyBorder="1" applyAlignment="1" applyProtection="1">
      <alignment horizontal="center" vertical="center"/>
      <protection locked="0"/>
    </xf>
    <xf numFmtId="0" fontId="16" fillId="25" borderId="6" xfId="0" applyFont="1" applyFill="1" applyBorder="1" applyAlignment="1" applyProtection="1">
      <alignment horizontal="center" vertical="center"/>
      <protection locked="0"/>
    </xf>
    <xf numFmtId="0" fontId="46" fillId="15" borderId="35" xfId="0" applyFont="1" applyFill="1" applyBorder="1" applyAlignment="1" applyProtection="1">
      <alignment horizontal="center" vertical="center"/>
      <protection locked="0"/>
    </xf>
    <xf numFmtId="0" fontId="46" fillId="15" borderId="12" xfId="0" applyFont="1" applyFill="1" applyBorder="1" applyAlignment="1" applyProtection="1">
      <alignment horizontal="center" vertical="center"/>
      <protection locked="0"/>
    </xf>
    <xf numFmtId="0" fontId="46" fillId="15" borderId="6" xfId="0" applyFont="1" applyFill="1" applyBorder="1" applyAlignment="1" applyProtection="1">
      <alignment horizontal="center" vertical="center"/>
      <protection locked="0"/>
    </xf>
    <xf numFmtId="0" fontId="27" fillId="0" borderId="0" xfId="0" applyFont="1" applyBorder="1" applyAlignment="1" applyProtection="1">
      <alignment horizontal="left" vertical="center" wrapText="1"/>
      <protection locked="0"/>
    </xf>
    <xf numFmtId="0" fontId="50" fillId="15" borderId="21" xfId="0" applyFont="1" applyFill="1" applyBorder="1" applyAlignment="1" applyProtection="1">
      <alignment horizontal="center" vertical="top"/>
      <protection locked="0"/>
    </xf>
    <xf numFmtId="0" fontId="50" fillId="15" borderId="22" xfId="0" applyFont="1" applyFill="1" applyBorder="1" applyAlignment="1" applyProtection="1">
      <alignment horizontal="center" vertical="top"/>
      <protection locked="0"/>
    </xf>
    <xf numFmtId="0" fontId="50" fillId="15" borderId="46" xfId="0" applyFont="1" applyFill="1" applyBorder="1" applyAlignment="1" applyProtection="1">
      <alignment horizontal="center" vertical="top"/>
      <protection locked="0"/>
    </xf>
    <xf numFmtId="0" fontId="57" fillId="47" borderId="49" xfId="0" applyFont="1" applyFill="1" applyBorder="1" applyAlignment="1" applyProtection="1">
      <alignment horizontal="center" vertical="top" wrapText="1"/>
      <protection locked="0"/>
    </xf>
    <xf numFmtId="0" fontId="57" fillId="47" borderId="50" xfId="0" applyFont="1" applyFill="1" applyBorder="1" applyAlignment="1" applyProtection="1">
      <alignment horizontal="center" vertical="top" wrapText="1"/>
      <protection locked="0"/>
    </xf>
    <xf numFmtId="0" fontId="46" fillId="16" borderId="35" xfId="0" applyFont="1" applyFill="1" applyBorder="1" applyAlignment="1" applyProtection="1">
      <alignment horizontal="center" vertical="center"/>
      <protection locked="0"/>
    </xf>
    <xf numFmtId="0" fontId="46" fillId="16" borderId="12" xfId="0" applyFont="1" applyFill="1" applyBorder="1" applyAlignment="1" applyProtection="1">
      <alignment horizontal="center" vertical="center"/>
      <protection locked="0"/>
    </xf>
    <xf numFmtId="0" fontId="46" fillId="16" borderId="6" xfId="0" applyFont="1" applyFill="1" applyBorder="1" applyAlignment="1" applyProtection="1">
      <alignment horizontal="center" vertical="center"/>
      <protection locked="0"/>
    </xf>
    <xf numFmtId="4" fontId="16" fillId="46" borderId="33" xfId="0" applyNumberFormat="1" applyFont="1" applyFill="1" applyBorder="1" applyAlignment="1" applyProtection="1">
      <alignment horizontal="right" vertical="center"/>
      <protection locked="0"/>
    </xf>
    <xf numFmtId="4" fontId="16" fillId="46" borderId="5" xfId="0" applyNumberFormat="1" applyFont="1" applyFill="1" applyBorder="1" applyAlignment="1" applyProtection="1">
      <alignment horizontal="right" vertical="center"/>
      <protection locked="0"/>
    </xf>
    <xf numFmtId="4" fontId="16" fillId="46" borderId="13" xfId="0" applyNumberFormat="1" applyFont="1" applyFill="1" applyBorder="1" applyAlignment="1" applyProtection="1">
      <alignment horizontal="right" vertical="center"/>
      <protection locked="0"/>
    </xf>
    <xf numFmtId="4" fontId="17" fillId="14" borderId="0" xfId="0" applyNumberFormat="1" applyFont="1" applyFill="1" applyBorder="1" applyAlignment="1" applyProtection="1">
      <alignment horizontal="right" vertical="center"/>
      <protection locked="0"/>
    </xf>
    <xf numFmtId="4" fontId="17" fillId="14" borderId="15" xfId="0" applyNumberFormat="1" applyFont="1" applyFill="1" applyBorder="1" applyAlignment="1" applyProtection="1">
      <alignment horizontal="right" vertical="center"/>
      <protection locked="0"/>
    </xf>
    <xf numFmtId="4" fontId="16" fillId="14" borderId="11" xfId="0" applyNumberFormat="1" applyFont="1" applyFill="1" applyBorder="1" applyAlignment="1" applyProtection="1">
      <alignment horizontal="right" vertical="center"/>
      <protection locked="0"/>
    </xf>
    <xf numFmtId="4" fontId="16" fillId="14" borderId="8" xfId="0" applyNumberFormat="1" applyFont="1" applyFill="1" applyBorder="1" applyAlignment="1" applyProtection="1">
      <alignment horizontal="right" vertical="center"/>
      <protection locked="0"/>
    </xf>
    <xf numFmtId="0" fontId="13" fillId="14" borderId="33" xfId="0" applyFont="1" applyFill="1" applyBorder="1" applyAlignment="1">
      <alignment horizontal="center" vertical="center"/>
    </xf>
    <xf numFmtId="0" fontId="13" fillId="14" borderId="5" xfId="0" applyFont="1" applyFill="1" applyBorder="1" applyAlignment="1">
      <alignment horizontal="center" vertical="center"/>
    </xf>
    <xf numFmtId="0" fontId="13" fillId="14" borderId="14" xfId="0" applyFont="1" applyFill="1" applyBorder="1" applyAlignment="1">
      <alignment horizontal="center" vertical="center"/>
    </xf>
    <xf numFmtId="0" fontId="13" fillId="14" borderId="0" xfId="0" applyFont="1" applyFill="1" applyBorder="1" applyAlignment="1">
      <alignment horizontal="center" vertical="center"/>
    </xf>
    <xf numFmtId="0" fontId="61" fillId="47" borderId="25" xfId="0" applyFont="1" applyFill="1" applyBorder="1" applyAlignment="1">
      <alignment horizontal="center" vertical="center"/>
    </xf>
    <xf numFmtId="0" fontId="61" fillId="47" borderId="28" xfId="0" applyFont="1" applyFill="1" applyBorder="1" applyAlignment="1">
      <alignment horizontal="center" vertical="center"/>
    </xf>
    <xf numFmtId="14" fontId="55" fillId="20" borderId="24" xfId="0" applyNumberFormat="1" applyFont="1" applyFill="1" applyBorder="1" applyAlignment="1">
      <alignment horizontal="center" vertical="center"/>
    </xf>
    <xf numFmtId="0" fontId="55" fillId="20" borderId="24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61" fillId="35" borderId="3" xfId="0" applyNumberFormat="1" applyFont="1" applyFill="1" applyBorder="1" applyAlignment="1">
      <alignment horizontal="center" vertical="center"/>
    </xf>
    <xf numFmtId="2" fontId="61" fillId="35" borderId="22" xfId="0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7" fillId="6" borderId="21" xfId="0" applyFont="1" applyFill="1" applyBorder="1" applyAlignment="1">
      <alignment horizontal="center" vertical="center" wrapText="1"/>
    </xf>
    <xf numFmtId="0" fontId="57" fillId="35" borderId="1" xfId="0" applyFont="1" applyFill="1" applyBorder="1" applyAlignment="1">
      <alignment horizontal="right" vertical="center"/>
    </xf>
    <xf numFmtId="0" fontId="57" fillId="35" borderId="21" xfId="0" applyFont="1" applyFill="1" applyBorder="1" applyAlignment="1">
      <alignment horizontal="right" vertical="center"/>
    </xf>
    <xf numFmtId="0" fontId="57" fillId="35" borderId="3" xfId="0" applyFont="1" applyFill="1" applyBorder="1" applyAlignment="1">
      <alignment horizontal="right" vertical="center"/>
    </xf>
    <xf numFmtId="0" fontId="57" fillId="35" borderId="10" xfId="0" applyFont="1" applyFill="1" applyBorder="1" applyAlignment="1">
      <alignment horizontal="right" vertical="center"/>
    </xf>
    <xf numFmtId="0" fontId="57" fillId="35" borderId="22" xfId="0" applyFont="1" applyFill="1" applyBorder="1" applyAlignment="1">
      <alignment horizontal="right" vertical="center"/>
    </xf>
    <xf numFmtId="0" fontId="17" fillId="6" borderId="9" xfId="0" applyFont="1" applyFill="1" applyBorder="1" applyAlignment="1">
      <alignment horizontal="center" vertical="center"/>
    </xf>
    <xf numFmtId="0" fontId="17" fillId="6" borderId="11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22" xfId="0" applyFont="1" applyBorder="1" applyAlignment="1">
      <alignment horizontal="left"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6" fillId="22" borderId="1" xfId="0" applyFont="1" applyFill="1" applyBorder="1" applyAlignment="1">
      <alignment horizontal="justify" vertical="center" wrapText="1"/>
    </xf>
    <xf numFmtId="0" fontId="17" fillId="14" borderId="1" xfId="0" applyFont="1" applyFill="1" applyBorder="1" applyAlignment="1">
      <alignment horizontal="center" vertical="center"/>
    </xf>
    <xf numFmtId="0" fontId="17" fillId="14" borderId="6" xfId="0" applyFont="1" applyFill="1" applyBorder="1" applyAlignment="1">
      <alignment horizontal="center" vertical="center"/>
    </xf>
    <xf numFmtId="0" fontId="17" fillId="14" borderId="9" xfId="0" applyFont="1" applyFill="1" applyBorder="1" applyAlignment="1">
      <alignment horizontal="center" vertical="center"/>
    </xf>
    <xf numFmtId="0" fontId="17" fillId="14" borderId="21" xfId="0" applyFont="1" applyFill="1" applyBorder="1" applyAlignment="1">
      <alignment horizontal="center" vertical="center"/>
    </xf>
    <xf numFmtId="0" fontId="17" fillId="48" borderId="6" xfId="0" applyFont="1" applyFill="1" applyBorder="1" applyAlignment="1">
      <alignment horizontal="center" vertical="center"/>
    </xf>
    <xf numFmtId="0" fontId="17" fillId="48" borderId="9" xfId="0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 wrapText="1"/>
    </xf>
    <xf numFmtId="0" fontId="17" fillId="14" borderId="6" xfId="0" applyFont="1" applyFill="1" applyBorder="1" applyAlignment="1">
      <alignment horizontal="center" vertical="center" wrapText="1"/>
    </xf>
    <xf numFmtId="0" fontId="17" fillId="14" borderId="9" xfId="0" applyFont="1" applyFill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/>
    </xf>
    <xf numFmtId="0" fontId="17" fillId="15" borderId="6" xfId="0" applyFont="1" applyFill="1" applyBorder="1" applyAlignment="1">
      <alignment horizontal="center" vertical="center"/>
    </xf>
    <xf numFmtId="0" fontId="17" fillId="15" borderId="9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6" fillId="25" borderId="1" xfId="0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16" fillId="25" borderId="1" xfId="0" applyFont="1" applyFill="1" applyBorder="1" applyAlignment="1">
      <alignment horizontal="justify" vertical="center"/>
    </xf>
    <xf numFmtId="0" fontId="16" fillId="25" borderId="1" xfId="0" applyFont="1" applyFill="1" applyBorder="1" applyAlignment="1">
      <alignment horizontal="justify" vertical="center" wrapText="1"/>
    </xf>
    <xf numFmtId="0" fontId="16" fillId="25" borderId="7" xfId="0" applyFont="1" applyFill="1" applyBorder="1" applyAlignment="1">
      <alignment horizontal="center" vertical="center"/>
    </xf>
    <xf numFmtId="0" fontId="16" fillId="25" borderId="12" xfId="0" applyFont="1" applyFill="1" applyBorder="1" applyAlignment="1">
      <alignment horizontal="center" vertical="center"/>
    </xf>
    <xf numFmtId="0" fontId="16" fillId="25" borderId="6" xfId="0" applyFont="1" applyFill="1" applyBorder="1" applyAlignment="1">
      <alignment horizontal="center" vertical="center"/>
    </xf>
    <xf numFmtId="0" fontId="42" fillId="28" borderId="1" xfId="0" applyFont="1" applyFill="1" applyBorder="1" applyAlignment="1">
      <alignment vertical="center"/>
    </xf>
    <xf numFmtId="0" fontId="42" fillId="28" borderId="6" xfId="0" applyFont="1" applyFill="1" applyBorder="1" applyAlignment="1">
      <alignment vertical="center"/>
    </xf>
    <xf numFmtId="0" fontId="48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17" fillId="25" borderId="1" xfId="0" applyFont="1" applyFill="1" applyBorder="1" applyAlignment="1">
      <alignment horizontal="right" vertical="center"/>
    </xf>
    <xf numFmtId="49" fontId="17" fillId="25" borderId="1" xfId="0" applyNumberFormat="1" applyFont="1" applyFill="1" applyBorder="1" applyAlignment="1">
      <alignment horizontal="right" vertical="center"/>
    </xf>
    <xf numFmtId="49" fontId="17" fillId="25" borderId="21" xfId="0" applyNumberFormat="1" applyFont="1" applyFill="1" applyBorder="1" applyAlignment="1">
      <alignment horizontal="right" vertical="center"/>
    </xf>
    <xf numFmtId="49" fontId="59" fillId="47" borderId="1" xfId="0" applyNumberFormat="1" applyFont="1" applyFill="1" applyBorder="1" applyAlignment="1">
      <alignment horizontal="right" vertical="center"/>
    </xf>
    <xf numFmtId="49" fontId="59" fillId="47" borderId="21" xfId="0" applyNumberFormat="1" applyFont="1" applyFill="1" applyBorder="1" applyAlignment="1">
      <alignment horizontal="right" vertical="center"/>
    </xf>
    <xf numFmtId="0" fontId="16" fillId="3" borderId="1" xfId="0" applyFont="1" applyFill="1" applyBorder="1" applyAlignment="1">
      <alignment horizontal="center" vertical="top"/>
    </xf>
    <xf numFmtId="0" fontId="17" fillId="25" borderId="21" xfId="0" applyFont="1" applyFill="1" applyBorder="1" applyAlignment="1">
      <alignment horizontal="right" vertical="center"/>
    </xf>
    <xf numFmtId="49" fontId="17" fillId="14" borderId="1" xfId="0" applyNumberFormat="1" applyFont="1" applyFill="1" applyBorder="1" applyAlignment="1">
      <alignment horizontal="center" vertical="center"/>
    </xf>
    <xf numFmtId="49" fontId="17" fillId="14" borderId="21" xfId="0" applyNumberFormat="1" applyFont="1" applyFill="1" applyBorder="1" applyAlignment="1">
      <alignment horizontal="center" vertical="center"/>
    </xf>
    <xf numFmtId="0" fontId="17" fillId="6" borderId="2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24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17" fillId="48" borderId="1" xfId="0" applyFont="1" applyFill="1" applyBorder="1" applyAlignment="1">
      <alignment horizontal="center" vertical="center"/>
    </xf>
    <xf numFmtId="0" fontId="17" fillId="28" borderId="1" xfId="0" applyFont="1" applyFill="1" applyBorder="1" applyAlignment="1">
      <alignment horizontal="left" vertical="center"/>
    </xf>
    <xf numFmtId="0" fontId="17" fillId="28" borderId="1" xfId="0" applyFont="1" applyFill="1" applyBorder="1" applyAlignment="1">
      <alignment horizontal="right" vertical="center"/>
    </xf>
    <xf numFmtId="0" fontId="48" fillId="0" borderId="22" xfId="0" applyFont="1" applyBorder="1" applyAlignment="1">
      <alignment horizontal="justify" vertical="center"/>
    </xf>
    <xf numFmtId="0" fontId="17" fillId="25" borderId="35" xfId="0" applyFont="1" applyFill="1" applyBorder="1" applyAlignment="1">
      <alignment horizontal="right" vertical="center"/>
    </xf>
    <xf numFmtId="0" fontId="17" fillId="25" borderId="33" xfId="0" applyFont="1" applyFill="1" applyBorder="1" applyAlignment="1">
      <alignment horizontal="right" vertical="center"/>
    </xf>
    <xf numFmtId="0" fontId="17" fillId="15" borderId="1" xfId="0" applyFont="1" applyFill="1" applyBorder="1" applyAlignment="1">
      <alignment horizontal="left" vertical="center"/>
    </xf>
    <xf numFmtId="0" fontId="17" fillId="14" borderId="7" xfId="0" applyFont="1" applyFill="1" applyBorder="1" applyAlignment="1">
      <alignment horizontal="center" vertical="center"/>
    </xf>
    <xf numFmtId="0" fontId="17" fillId="14" borderId="33" xfId="0" applyFont="1" applyFill="1" applyBorder="1" applyAlignment="1">
      <alignment horizontal="center" vertical="center"/>
    </xf>
    <xf numFmtId="0" fontId="17" fillId="32" borderId="1" xfId="0" applyFont="1" applyFill="1" applyBorder="1" applyAlignment="1">
      <alignment horizontal="justify" vertical="center"/>
    </xf>
    <xf numFmtId="14" fontId="61" fillId="36" borderId="25" xfId="0" applyNumberFormat="1" applyFont="1" applyFill="1" applyBorder="1" applyAlignment="1">
      <alignment horizontal="right" vertical="center"/>
    </xf>
    <xf numFmtId="14" fontId="61" fillId="36" borderId="28" xfId="0" applyNumberFormat="1" applyFont="1" applyFill="1" applyBorder="1" applyAlignment="1">
      <alignment horizontal="right" vertical="center"/>
    </xf>
    <xf numFmtId="14" fontId="61" fillId="35" borderId="25" xfId="0" applyNumberFormat="1" applyFont="1" applyFill="1" applyBorder="1" applyAlignment="1">
      <alignment horizontal="right" vertical="center"/>
    </xf>
    <xf numFmtId="14" fontId="61" fillId="35" borderId="28" xfId="0" applyNumberFormat="1" applyFont="1" applyFill="1" applyBorder="1" applyAlignment="1">
      <alignment horizontal="right" vertical="center"/>
    </xf>
    <xf numFmtId="164" fontId="61" fillId="35" borderId="25" xfId="0" applyNumberFormat="1" applyFont="1" applyFill="1" applyBorder="1" applyAlignment="1">
      <alignment horizontal="right" vertical="center"/>
    </xf>
    <xf numFmtId="164" fontId="61" fillId="35" borderId="28" xfId="0" applyNumberFormat="1" applyFont="1" applyFill="1" applyBorder="1" applyAlignment="1">
      <alignment horizontal="right" vertical="center"/>
    </xf>
    <xf numFmtId="0" fontId="50" fillId="0" borderId="1" xfId="0" applyFont="1" applyBorder="1" applyAlignment="1">
      <alignment horizontal="center" vertical="center"/>
    </xf>
    <xf numFmtId="1" fontId="61" fillId="35" borderId="25" xfId="0" applyNumberFormat="1" applyFont="1" applyFill="1" applyBorder="1" applyAlignment="1">
      <alignment horizontal="right" vertical="center"/>
    </xf>
    <xf numFmtId="1" fontId="61" fillId="35" borderId="28" xfId="0" applyNumberFormat="1" applyFont="1" applyFill="1" applyBorder="1" applyAlignment="1">
      <alignment horizontal="right" vertical="center"/>
    </xf>
    <xf numFmtId="164" fontId="61" fillId="35" borderId="25" xfId="0" applyNumberFormat="1" applyFont="1" applyFill="1" applyBorder="1" applyAlignment="1">
      <alignment horizontal="center" vertical="center" wrapText="1"/>
    </xf>
    <xf numFmtId="164" fontId="61" fillId="35" borderId="28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justify" vertical="center" wrapText="1"/>
    </xf>
    <xf numFmtId="0" fontId="16" fillId="25" borderId="35" xfId="0" applyFont="1" applyFill="1" applyBorder="1" applyAlignment="1">
      <alignment horizontal="justify" vertical="center" wrapText="1"/>
    </xf>
    <xf numFmtId="0" fontId="16" fillId="0" borderId="22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1" fillId="47" borderId="28" xfId="0" applyFont="1" applyFill="1" applyBorder="1" applyAlignment="1">
      <alignment horizontal="center" vertical="top"/>
    </xf>
    <xf numFmtId="0" fontId="61" fillId="47" borderId="39" xfId="0" applyFont="1" applyFill="1" applyBorder="1" applyAlignment="1">
      <alignment horizontal="center" vertical="top"/>
    </xf>
    <xf numFmtId="0" fontId="17" fillId="6" borderId="15" xfId="0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2" fontId="61" fillId="35" borderId="2" xfId="0" applyNumberFormat="1" applyFont="1" applyFill="1" applyBorder="1" applyAlignment="1">
      <alignment horizontal="center" vertical="center"/>
    </xf>
    <xf numFmtId="0" fontId="17" fillId="6" borderId="13" xfId="0" applyFont="1" applyFill="1" applyBorder="1" applyAlignment="1">
      <alignment horizontal="center" vertical="center"/>
    </xf>
    <xf numFmtId="0" fontId="48" fillId="0" borderId="1" xfId="0" applyFont="1" applyBorder="1" applyAlignment="1">
      <alignment horizontal="justify" vertical="center"/>
    </xf>
    <xf numFmtId="0" fontId="48" fillId="0" borderId="6" xfId="0" applyFont="1" applyBorder="1" applyAlignment="1">
      <alignment horizontal="justify" vertical="center"/>
    </xf>
    <xf numFmtId="0" fontId="16" fillId="25" borderId="6" xfId="0" applyFont="1" applyFill="1" applyBorder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0" fontId="55" fillId="20" borderId="24" xfId="0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2" fontId="61" fillId="35" borderId="25" xfId="0" applyNumberFormat="1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 wrapText="1"/>
    </xf>
    <xf numFmtId="0" fontId="55" fillId="14" borderId="1" xfId="0" applyFont="1" applyFill="1" applyBorder="1" applyAlignment="1">
      <alignment horizontal="center" vertical="center" wrapText="1"/>
    </xf>
    <xf numFmtId="0" fontId="55" fillId="14" borderId="6" xfId="0" applyFont="1" applyFill="1" applyBorder="1" applyAlignment="1">
      <alignment horizontal="center" vertical="center" wrapText="1"/>
    </xf>
    <xf numFmtId="0" fontId="55" fillId="15" borderId="1" xfId="0" applyFont="1" applyFill="1" applyBorder="1" applyAlignment="1">
      <alignment horizontal="left" vertical="center"/>
    </xf>
    <xf numFmtId="0" fontId="24" fillId="0" borderId="21" xfId="0" applyFont="1" applyBorder="1" applyAlignment="1">
      <alignment horizontal="left" vertical="center"/>
    </xf>
    <xf numFmtId="0" fontId="17" fillId="6" borderId="7" xfId="0" applyFont="1" applyFill="1" applyBorder="1" applyAlignment="1">
      <alignment horizontal="center" vertical="center"/>
    </xf>
    <xf numFmtId="0" fontId="16" fillId="25" borderId="3" xfId="0" applyFont="1" applyFill="1" applyBorder="1" applyAlignment="1">
      <alignment horizontal="justify" vertical="center" wrapText="1"/>
    </xf>
    <xf numFmtId="0" fontId="16" fillId="25" borderId="2" xfId="0" applyFont="1" applyFill="1" applyBorder="1" applyAlignment="1">
      <alignment horizontal="justify" vertical="center" wrapText="1"/>
    </xf>
    <xf numFmtId="0" fontId="16" fillId="25" borderId="9" xfId="0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17" fillId="14" borderId="3" xfId="0" applyFont="1" applyFill="1" applyBorder="1" applyAlignment="1">
      <alignment horizontal="center" vertical="center"/>
    </xf>
    <xf numFmtId="0" fontId="17" fillId="14" borderId="10" xfId="0" applyFont="1" applyFill="1" applyBorder="1" applyAlignment="1">
      <alignment horizontal="center" vertical="center"/>
    </xf>
    <xf numFmtId="0" fontId="17" fillId="14" borderId="2" xfId="0" applyFont="1" applyFill="1" applyBorder="1" applyAlignment="1">
      <alignment horizontal="center" vertical="center"/>
    </xf>
    <xf numFmtId="0" fontId="17" fillId="14" borderId="8" xfId="0" applyFont="1" applyFill="1" applyBorder="1" applyAlignment="1">
      <alignment horizontal="center" vertical="center"/>
    </xf>
    <xf numFmtId="0" fontId="17" fillId="14" borderId="5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14" borderId="11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49" fontId="17" fillId="14" borderId="3" xfId="0" applyNumberFormat="1" applyFont="1" applyFill="1" applyBorder="1" applyAlignment="1">
      <alignment horizontal="center" vertical="center"/>
    </xf>
    <xf numFmtId="49" fontId="17" fillId="14" borderId="10" xfId="0" applyNumberFormat="1" applyFont="1" applyFill="1" applyBorder="1" applyAlignment="1">
      <alignment horizontal="center" vertical="center"/>
    </xf>
    <xf numFmtId="49" fontId="17" fillId="14" borderId="2" xfId="0" applyNumberFormat="1" applyFont="1" applyFill="1" applyBorder="1" applyAlignment="1">
      <alignment horizontal="center" vertical="center"/>
    </xf>
    <xf numFmtId="0" fontId="55" fillId="14" borderId="3" xfId="0" applyFont="1" applyFill="1" applyBorder="1" applyAlignment="1">
      <alignment horizontal="center" vertical="center" wrapText="1"/>
    </xf>
    <xf numFmtId="0" fontId="55" fillId="14" borderId="10" xfId="0" applyFont="1" applyFill="1" applyBorder="1" applyAlignment="1">
      <alignment horizontal="center" vertical="center" wrapText="1"/>
    </xf>
    <xf numFmtId="0" fontId="55" fillId="14" borderId="8" xfId="0" applyFont="1" applyFill="1" applyBorder="1" applyAlignment="1">
      <alignment horizontal="center" vertical="center" wrapText="1"/>
    </xf>
    <xf numFmtId="0" fontId="17" fillId="15" borderId="3" xfId="0" applyFont="1" applyFill="1" applyBorder="1" applyAlignment="1">
      <alignment horizontal="center" vertical="center"/>
    </xf>
    <xf numFmtId="0" fontId="17" fillId="15" borderId="10" xfId="0" applyFont="1" applyFill="1" applyBorder="1" applyAlignment="1">
      <alignment horizontal="center" vertical="center"/>
    </xf>
    <xf numFmtId="0" fontId="17" fillId="15" borderId="8" xfId="0" applyFont="1" applyFill="1" applyBorder="1" applyAlignment="1">
      <alignment horizontal="center" vertical="center"/>
    </xf>
    <xf numFmtId="0" fontId="17" fillId="48" borderId="3" xfId="0" applyFont="1" applyFill="1" applyBorder="1" applyAlignment="1">
      <alignment horizontal="center" vertical="center"/>
    </xf>
    <xf numFmtId="0" fontId="17" fillId="48" borderId="10" xfId="0" applyFont="1" applyFill="1" applyBorder="1" applyAlignment="1">
      <alignment horizontal="center" vertical="center"/>
    </xf>
    <xf numFmtId="0" fontId="17" fillId="48" borderId="2" xfId="0" applyFont="1" applyFill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17" fillId="14" borderId="0" xfId="0" applyFont="1" applyFill="1" applyBorder="1" applyAlignment="1">
      <alignment horizontal="center" vertical="center"/>
    </xf>
    <xf numFmtId="0" fontId="55" fillId="14" borderId="15" xfId="0" applyFont="1" applyFill="1" applyBorder="1" applyAlignment="1">
      <alignment horizontal="center" vertical="center" wrapText="1"/>
    </xf>
    <xf numFmtId="0" fontId="17" fillId="14" borderId="13" xfId="0" applyFont="1" applyFill="1" applyBorder="1" applyAlignment="1">
      <alignment horizontal="center" vertical="center"/>
    </xf>
    <xf numFmtId="0" fontId="17" fillId="48" borderId="13" xfId="0" applyFont="1" applyFill="1" applyBorder="1" applyAlignment="1">
      <alignment horizontal="center" vertical="center"/>
    </xf>
    <xf numFmtId="0" fontId="17" fillId="14" borderId="15" xfId="0" applyFont="1" applyFill="1" applyBorder="1" applyAlignment="1">
      <alignment horizontal="center" vertical="center"/>
    </xf>
    <xf numFmtId="0" fontId="17" fillId="15" borderId="21" xfId="0" applyFont="1" applyFill="1" applyBorder="1" applyAlignment="1">
      <alignment horizontal="center" vertical="center"/>
    </xf>
    <xf numFmtId="0" fontId="17" fillId="14" borderId="42" xfId="0" applyFont="1" applyFill="1" applyBorder="1" applyAlignment="1">
      <alignment horizontal="center" vertical="center" wrapText="1"/>
    </xf>
    <xf numFmtId="49" fontId="17" fillId="14" borderId="13" xfId="0" applyNumberFormat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6" borderId="10" xfId="0" applyFont="1" applyFill="1" applyBorder="1" applyAlignment="1">
      <alignment horizontal="center" vertical="center"/>
    </xf>
    <xf numFmtId="0" fontId="17" fillId="15" borderId="15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right" vertical="top"/>
    </xf>
    <xf numFmtId="0" fontId="7" fillId="5" borderId="7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right" vertical="top"/>
    </xf>
    <xf numFmtId="0" fontId="4" fillId="0" borderId="0" xfId="0" applyFont="1" applyBorder="1" applyAlignment="1">
      <alignment horizontal="justify" vertical="top" wrapText="1"/>
    </xf>
    <xf numFmtId="0" fontId="5" fillId="8" borderId="1" xfId="0" applyFont="1" applyFill="1" applyBorder="1" applyAlignment="1">
      <alignment horizontal="center" vertical="top"/>
    </xf>
    <xf numFmtId="0" fontId="20" fillId="5" borderId="24" xfId="0" applyFont="1" applyFill="1" applyBorder="1" applyAlignment="1">
      <alignment horizontal="center" vertical="center"/>
    </xf>
    <xf numFmtId="0" fontId="27" fillId="25" borderId="24" xfId="0" applyFont="1" applyFill="1" applyBorder="1" applyAlignment="1">
      <alignment horizontal="right" vertical="center"/>
    </xf>
    <xf numFmtId="0" fontId="14" fillId="12" borderId="9" xfId="0" applyFont="1" applyFill="1" applyBorder="1" applyAlignment="1">
      <alignment horizontal="right" vertical="center"/>
    </xf>
    <xf numFmtId="0" fontId="14" fillId="12" borderId="11" xfId="0" applyFont="1" applyFill="1" applyBorder="1" applyAlignment="1">
      <alignment horizontal="right" vertical="center"/>
    </xf>
    <xf numFmtId="0" fontId="14" fillId="12" borderId="42" xfId="0" applyFont="1" applyFill="1" applyBorder="1" applyAlignment="1">
      <alignment horizontal="right" vertical="center"/>
    </xf>
    <xf numFmtId="0" fontId="14" fillId="5" borderId="24" xfId="0" applyFont="1" applyFill="1" applyBorder="1" applyAlignment="1">
      <alignment horizontal="right" vertical="center"/>
    </xf>
    <xf numFmtId="0" fontId="31" fillId="25" borderId="24" xfId="0" applyFont="1" applyFill="1" applyBorder="1" applyAlignment="1">
      <alignment horizontal="right" vertical="center"/>
    </xf>
    <xf numFmtId="0" fontId="23" fillId="12" borderId="14" xfId="0" applyFont="1" applyFill="1" applyBorder="1" applyAlignment="1">
      <alignment horizontal="right" vertical="center"/>
    </xf>
    <xf numFmtId="0" fontId="23" fillId="12" borderId="0" xfId="0" applyFont="1" applyFill="1" applyBorder="1" applyAlignment="1">
      <alignment horizontal="right" vertical="center"/>
    </xf>
    <xf numFmtId="0" fontId="23" fillId="12" borderId="38" xfId="0" applyFont="1" applyFill="1" applyBorder="1" applyAlignment="1">
      <alignment horizontal="right" vertical="center"/>
    </xf>
    <xf numFmtId="0" fontId="14" fillId="16" borderId="14" xfId="0" applyFont="1" applyFill="1" applyBorder="1" applyAlignment="1">
      <alignment horizontal="center" vertical="top" wrapText="1"/>
    </xf>
    <xf numFmtId="0" fontId="14" fillId="16" borderId="15" xfId="0" applyFont="1" applyFill="1" applyBorder="1" applyAlignment="1">
      <alignment horizontal="center" vertical="top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24" xfId="0" applyFont="1" applyFill="1" applyBorder="1" applyAlignment="1">
      <alignment horizontal="center" vertical="center" wrapText="1"/>
    </xf>
    <xf numFmtId="0" fontId="71" fillId="14" borderId="24" xfId="0" applyFont="1" applyFill="1" applyBorder="1" applyAlignment="1">
      <alignment horizontal="center" vertical="center"/>
    </xf>
    <xf numFmtId="0" fontId="57" fillId="47" borderId="49" xfId="0" applyFont="1" applyFill="1" applyBorder="1" applyAlignment="1">
      <alignment horizontal="center" vertical="center" wrapText="1"/>
    </xf>
    <xf numFmtId="0" fontId="57" fillId="47" borderId="52" xfId="0" applyFont="1" applyFill="1" applyBorder="1" applyAlignment="1">
      <alignment horizontal="center" vertical="center" wrapText="1"/>
    </xf>
    <xf numFmtId="0" fontId="50" fillId="12" borderId="4" xfId="0" applyFont="1" applyFill="1" applyBorder="1" applyAlignment="1">
      <alignment horizontal="center" vertical="center" wrapText="1"/>
    </xf>
    <xf numFmtId="0" fontId="50" fillId="12" borderId="5" xfId="0" applyFont="1" applyFill="1" applyBorder="1" applyAlignment="1">
      <alignment horizontal="center" vertical="center" wrapText="1"/>
    </xf>
    <xf numFmtId="0" fontId="50" fillId="12" borderId="43" xfId="0" applyFont="1" applyFill="1" applyBorder="1" applyAlignment="1">
      <alignment horizontal="center" vertical="center" wrapText="1"/>
    </xf>
    <xf numFmtId="0" fontId="20" fillId="5" borderId="35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14" fillId="31" borderId="21" xfId="0" applyFont="1" applyFill="1" applyBorder="1" applyAlignment="1">
      <alignment horizontal="right" vertical="center" wrapText="1"/>
    </xf>
    <xf numFmtId="0" fontId="14" fillId="31" borderId="22" xfId="0" applyFont="1" applyFill="1" applyBorder="1" applyAlignment="1">
      <alignment horizontal="right" vertical="center" wrapText="1"/>
    </xf>
    <xf numFmtId="0" fontId="14" fillId="31" borderId="23" xfId="0" applyFont="1" applyFill="1" applyBorder="1" applyAlignment="1">
      <alignment horizontal="right" vertical="center" wrapText="1"/>
    </xf>
    <xf numFmtId="0" fontId="14" fillId="31" borderId="21" xfId="0" applyFont="1" applyFill="1" applyBorder="1" applyAlignment="1">
      <alignment horizontal="right" vertical="center"/>
    </xf>
    <xf numFmtId="0" fontId="14" fillId="31" borderId="22" xfId="0" applyFont="1" applyFill="1" applyBorder="1" applyAlignment="1">
      <alignment horizontal="right" vertical="center"/>
    </xf>
    <xf numFmtId="0" fontId="14" fillId="31" borderId="23" xfId="0" applyFont="1" applyFill="1" applyBorder="1" applyAlignment="1">
      <alignment horizontal="right" vertical="center"/>
    </xf>
    <xf numFmtId="0" fontId="20" fillId="5" borderId="13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4" fontId="23" fillId="12" borderId="1" xfId="1" applyNumberFormat="1" applyFont="1" applyFill="1" applyBorder="1" applyAlignment="1" applyProtection="1">
      <alignment horizontal="center" vertical="center"/>
    </xf>
    <xf numFmtId="0" fontId="21" fillId="15" borderId="7" xfId="0" applyFont="1" applyFill="1" applyBorder="1" applyAlignment="1">
      <alignment horizontal="center" vertical="center" wrapText="1"/>
    </xf>
    <xf numFmtId="0" fontId="21" fillId="15" borderId="6" xfId="0" applyFont="1" applyFill="1" applyBorder="1" applyAlignment="1">
      <alignment horizontal="center" vertical="center" wrapText="1"/>
    </xf>
    <xf numFmtId="0" fontId="19" fillId="15" borderId="7" xfId="0" applyFont="1" applyFill="1" applyBorder="1" applyAlignment="1">
      <alignment horizontal="justify" vertical="center" wrapText="1"/>
    </xf>
    <xf numFmtId="0" fontId="19" fillId="15" borderId="6" xfId="0" applyFont="1" applyFill="1" applyBorder="1" applyAlignment="1">
      <alignment horizontal="justify" vertical="center" wrapText="1"/>
    </xf>
    <xf numFmtId="0" fontId="19" fillId="25" borderId="7" xfId="0" applyFont="1" applyFill="1" applyBorder="1" applyAlignment="1">
      <alignment horizontal="justify" vertical="center" wrapText="1"/>
    </xf>
    <xf numFmtId="0" fontId="19" fillId="25" borderId="6" xfId="0" applyFont="1" applyFill="1" applyBorder="1" applyAlignment="1">
      <alignment horizontal="justify" vertical="center" wrapText="1"/>
    </xf>
    <xf numFmtId="0" fontId="16" fillId="25" borderId="7" xfId="0" applyFont="1" applyFill="1" applyBorder="1" applyAlignment="1">
      <alignment horizontal="center" vertical="center" wrapText="1"/>
    </xf>
    <xf numFmtId="0" fontId="16" fillId="25" borderId="6" xfId="0" applyFont="1" applyFill="1" applyBorder="1" applyAlignment="1">
      <alignment horizontal="center" vertical="center" wrapText="1"/>
    </xf>
    <xf numFmtId="0" fontId="21" fillId="25" borderId="7" xfId="0" applyFont="1" applyFill="1" applyBorder="1" applyAlignment="1">
      <alignment horizontal="center" vertical="center" wrapText="1"/>
    </xf>
    <xf numFmtId="0" fontId="21" fillId="25" borderId="6" xfId="0" applyFont="1" applyFill="1" applyBorder="1" applyAlignment="1">
      <alignment horizontal="center" vertical="center" wrapText="1"/>
    </xf>
    <xf numFmtId="4" fontId="23" fillId="31" borderId="1" xfId="1" applyNumberFormat="1" applyFont="1" applyFill="1" applyBorder="1" applyAlignment="1" applyProtection="1">
      <alignment horizontal="center" vertical="center"/>
    </xf>
    <xf numFmtId="0" fontId="19" fillId="5" borderId="7" xfId="0" applyFont="1" applyFill="1" applyBorder="1" applyAlignment="1">
      <alignment horizontal="justify" vertical="center" wrapText="1"/>
    </xf>
    <xf numFmtId="0" fontId="19" fillId="5" borderId="6" xfId="0" applyFont="1" applyFill="1" applyBorder="1" applyAlignment="1">
      <alignment horizontal="justify" vertical="center" wrapText="1"/>
    </xf>
    <xf numFmtId="0" fontId="16" fillId="15" borderId="7" xfId="0" applyFont="1" applyFill="1" applyBorder="1" applyAlignment="1">
      <alignment horizontal="center" vertical="center" wrapText="1"/>
    </xf>
    <xf numFmtId="0" fontId="16" fillId="1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16" fillId="20" borderId="3" xfId="0" applyFont="1" applyFill="1" applyBorder="1" applyAlignment="1">
      <alignment horizontal="center" vertical="top" wrapText="1"/>
    </xf>
    <xf numFmtId="0" fontId="16" fillId="20" borderId="2" xfId="0" applyFont="1" applyFill="1" applyBorder="1" applyAlignment="1">
      <alignment horizontal="center" vertical="top" wrapText="1"/>
    </xf>
    <xf numFmtId="4" fontId="24" fillId="32" borderId="1" xfId="1" applyNumberFormat="1" applyFont="1" applyFill="1" applyBorder="1" applyAlignment="1" applyProtection="1">
      <alignment horizontal="center" vertical="center"/>
    </xf>
    <xf numFmtId="4" fontId="24" fillId="25" borderId="1" xfId="1" applyNumberFormat="1" applyFont="1" applyFill="1" applyBorder="1" applyAlignment="1" applyProtection="1">
      <alignment horizontal="center" vertical="center"/>
    </xf>
    <xf numFmtId="0" fontId="14" fillId="30" borderId="3" xfId="0" applyFont="1" applyFill="1" applyBorder="1" applyAlignment="1">
      <alignment horizontal="center" vertical="center" wrapText="1"/>
    </xf>
    <xf numFmtId="0" fontId="14" fillId="30" borderId="2" xfId="0" applyFont="1" applyFill="1" applyBorder="1" applyAlignment="1">
      <alignment horizontal="center" vertical="center" wrapText="1"/>
    </xf>
    <xf numFmtId="0" fontId="46" fillId="29" borderId="4" xfId="0" applyFont="1" applyFill="1" applyBorder="1" applyAlignment="1">
      <alignment horizontal="center" vertical="top" wrapText="1"/>
    </xf>
    <xf numFmtId="0" fontId="46" fillId="29" borderId="5" xfId="0" applyFont="1" applyFill="1" applyBorder="1" applyAlignment="1">
      <alignment horizontal="center" vertical="top" wrapText="1"/>
    </xf>
    <xf numFmtId="0" fontId="46" fillId="29" borderId="13" xfId="0" applyFont="1" applyFill="1" applyBorder="1" applyAlignment="1">
      <alignment horizontal="center" vertical="top" wrapText="1"/>
    </xf>
    <xf numFmtId="0" fontId="46" fillId="29" borderId="9" xfId="0" applyFont="1" applyFill="1" applyBorder="1" applyAlignment="1">
      <alignment horizontal="center" vertical="top" wrapText="1"/>
    </xf>
    <xf numFmtId="0" fontId="46" fillId="29" borderId="11" xfId="0" applyFont="1" applyFill="1" applyBorder="1" applyAlignment="1">
      <alignment horizontal="center" vertical="top" wrapText="1"/>
    </xf>
    <xf numFmtId="0" fontId="46" fillId="29" borderId="8" xfId="0" applyFont="1" applyFill="1" applyBorder="1" applyAlignment="1">
      <alignment horizontal="center" vertical="top" wrapText="1"/>
    </xf>
    <xf numFmtId="0" fontId="13" fillId="10" borderId="3" xfId="0" applyFont="1" applyFill="1" applyBorder="1" applyAlignment="1">
      <alignment horizontal="center" vertical="top" wrapText="1"/>
    </xf>
    <xf numFmtId="0" fontId="13" fillId="10" borderId="10" xfId="0" applyFont="1" applyFill="1" applyBorder="1" applyAlignment="1">
      <alignment horizontal="center" vertical="top" wrapText="1"/>
    </xf>
    <xf numFmtId="0" fontId="22" fillId="15" borderId="7" xfId="0" applyFont="1" applyFill="1" applyBorder="1" applyAlignment="1">
      <alignment horizontal="justify" vertical="center" wrapText="1"/>
    </xf>
    <xf numFmtId="0" fontId="22" fillId="15" borderId="6" xfId="0" applyFont="1" applyFill="1" applyBorder="1" applyAlignment="1">
      <alignment horizontal="justify" vertical="center" wrapText="1"/>
    </xf>
    <xf numFmtId="0" fontId="19" fillId="14" borderId="7" xfId="0" applyFont="1" applyFill="1" applyBorder="1" applyAlignment="1">
      <alignment horizontal="justify" vertical="center" wrapText="1"/>
    </xf>
    <xf numFmtId="0" fontId="19" fillId="14" borderId="6" xfId="0" applyFont="1" applyFill="1" applyBorder="1" applyAlignment="1">
      <alignment horizontal="justify" vertical="center" wrapText="1"/>
    </xf>
    <xf numFmtId="0" fontId="34" fillId="28" borderId="0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justify" wrapText="1"/>
    </xf>
    <xf numFmtId="0" fontId="21" fillId="15" borderId="12" xfId="0" applyFont="1" applyFill="1" applyBorder="1" applyAlignment="1">
      <alignment horizontal="center" vertical="center" wrapText="1"/>
    </xf>
    <xf numFmtId="0" fontId="16" fillId="15" borderId="12" xfId="0" applyFont="1" applyFill="1" applyBorder="1" applyAlignment="1">
      <alignment horizontal="center" vertical="center" wrapText="1"/>
    </xf>
    <xf numFmtId="0" fontId="19" fillId="15" borderId="12" xfId="0" applyFont="1" applyFill="1" applyBorder="1" applyAlignment="1">
      <alignment horizontal="justify" vertical="center" wrapText="1"/>
    </xf>
    <xf numFmtId="0" fontId="34" fillId="5" borderId="0" xfId="0" applyFont="1" applyFill="1" applyBorder="1" applyAlignment="1">
      <alignment horizontal="left" vertical="center"/>
    </xf>
    <xf numFmtId="0" fontId="22" fillId="0" borderId="0" xfId="0" applyFont="1" applyBorder="1" applyAlignment="1">
      <alignment horizontal="left" vertical="top" wrapText="1"/>
    </xf>
    <xf numFmtId="0" fontId="28" fillId="33" borderId="3" xfId="0" applyFont="1" applyFill="1" applyBorder="1" applyAlignment="1">
      <alignment horizontal="right" vertical="center" wrapText="1"/>
    </xf>
    <xf numFmtId="0" fontId="28" fillId="33" borderId="10" xfId="0" applyFont="1" applyFill="1" applyBorder="1" applyAlignment="1">
      <alignment horizontal="right" vertical="center" wrapText="1"/>
    </xf>
    <xf numFmtId="0" fontId="28" fillId="33" borderId="2" xfId="0" applyFont="1" applyFill="1" applyBorder="1" applyAlignment="1">
      <alignment horizontal="right" vertical="center" wrapText="1"/>
    </xf>
    <xf numFmtId="49" fontId="34" fillId="0" borderId="0" xfId="0" applyNumberFormat="1" applyFont="1" applyAlignment="1">
      <alignment horizontal="justify"/>
    </xf>
    <xf numFmtId="0" fontId="23" fillId="33" borderId="3" xfId="0" applyFont="1" applyFill="1" applyBorder="1" applyAlignment="1">
      <alignment horizontal="right" vertical="center"/>
    </xf>
    <xf numFmtId="0" fontId="23" fillId="33" borderId="10" xfId="0" applyFont="1" applyFill="1" applyBorder="1" applyAlignment="1">
      <alignment horizontal="right" vertical="center"/>
    </xf>
    <xf numFmtId="0" fontId="23" fillId="33" borderId="2" xfId="0" applyFont="1" applyFill="1" applyBorder="1" applyAlignment="1">
      <alignment horizontal="right" vertical="center"/>
    </xf>
    <xf numFmtId="0" fontId="34" fillId="5" borderId="0" xfId="0" applyFont="1" applyFill="1" applyBorder="1" applyAlignment="1">
      <alignment horizontal="left" vertical="center" wrapText="1"/>
    </xf>
    <xf numFmtId="0" fontId="19" fillId="14" borderId="7" xfId="0" applyFont="1" applyFill="1" applyBorder="1" applyAlignment="1">
      <alignment horizontal="center" vertical="center" wrapText="1"/>
    </xf>
    <xf numFmtId="0" fontId="19" fillId="14" borderId="6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6" xfId="0" applyFont="1" applyFill="1" applyBorder="1" applyAlignment="1">
      <alignment horizontal="center" vertical="center" wrapText="1"/>
    </xf>
    <xf numFmtId="0" fontId="19" fillId="15" borderId="7" xfId="0" applyFont="1" applyFill="1" applyBorder="1" applyAlignment="1">
      <alignment horizontal="center" vertical="center" wrapText="1"/>
    </xf>
    <xf numFmtId="0" fontId="19" fillId="15" borderId="6" xfId="0" applyFont="1" applyFill="1" applyBorder="1" applyAlignment="1">
      <alignment horizontal="center" vertical="center" wrapText="1"/>
    </xf>
    <xf numFmtId="0" fontId="19" fillId="25" borderId="7" xfId="0" applyFont="1" applyFill="1" applyBorder="1" applyAlignment="1">
      <alignment horizontal="center" vertical="center" wrapText="1"/>
    </xf>
    <xf numFmtId="0" fontId="19" fillId="25" borderId="6" xfId="0" applyFont="1" applyFill="1" applyBorder="1" applyAlignment="1">
      <alignment horizontal="center" vertical="center" wrapText="1"/>
    </xf>
    <xf numFmtId="4" fontId="21" fillId="11" borderId="7" xfId="1" applyNumberFormat="1" applyFont="1" applyFill="1" applyBorder="1" applyAlignment="1" applyProtection="1">
      <alignment horizontal="center" vertical="center"/>
    </xf>
    <xf numFmtId="4" fontId="21" fillId="11" borderId="6" xfId="1" applyNumberFormat="1" applyFont="1" applyFill="1" applyBorder="1" applyAlignment="1" applyProtection="1">
      <alignment horizontal="center" vertical="center"/>
    </xf>
    <xf numFmtId="4" fontId="21" fillId="20" borderId="7" xfId="1" applyNumberFormat="1" applyFont="1" applyFill="1" applyBorder="1" applyAlignment="1" applyProtection="1">
      <alignment horizontal="center" vertical="center"/>
    </xf>
    <xf numFmtId="4" fontId="21" fillId="20" borderId="6" xfId="1" applyNumberFormat="1" applyFont="1" applyFill="1" applyBorder="1" applyAlignment="1" applyProtection="1">
      <alignment horizontal="center" vertical="center"/>
    </xf>
    <xf numFmtId="168" fontId="21" fillId="20" borderId="7" xfId="1" applyNumberFormat="1" applyFont="1" applyFill="1" applyBorder="1" applyAlignment="1" applyProtection="1">
      <alignment horizontal="center" vertical="center" wrapText="1"/>
    </xf>
    <xf numFmtId="168" fontId="21" fillId="20" borderId="6" xfId="1" applyNumberFormat="1" applyFont="1" applyFill="1" applyBorder="1" applyAlignment="1" applyProtection="1">
      <alignment horizontal="center" vertical="center" wrapText="1"/>
    </xf>
    <xf numFmtId="168" fontId="21" fillId="11" borderId="7" xfId="1" applyNumberFormat="1" applyFont="1" applyFill="1" applyBorder="1" applyAlignment="1" applyProtection="1">
      <alignment horizontal="center" vertical="center" wrapText="1"/>
    </xf>
    <xf numFmtId="168" fontId="21" fillId="11" borderId="6" xfId="1" applyNumberFormat="1" applyFont="1" applyFill="1" applyBorder="1" applyAlignment="1" applyProtection="1">
      <alignment horizontal="center" vertical="center" wrapText="1"/>
    </xf>
    <xf numFmtId="0" fontId="39" fillId="5" borderId="3" xfId="0" applyFont="1" applyFill="1" applyBorder="1" applyAlignment="1">
      <alignment horizontal="right" vertical="center" wrapText="1"/>
    </xf>
    <xf numFmtId="0" fontId="39" fillId="5" borderId="10" xfId="0" applyFont="1" applyFill="1" applyBorder="1" applyAlignment="1">
      <alignment horizontal="right" vertical="center" wrapText="1"/>
    </xf>
    <xf numFmtId="0" fontId="39" fillId="5" borderId="2" xfId="0" applyFont="1" applyFill="1" applyBorder="1" applyAlignment="1">
      <alignment horizontal="right" vertical="center" wrapText="1"/>
    </xf>
    <xf numFmtId="0" fontId="39" fillId="5" borderId="3" xfId="0" applyFont="1" applyFill="1" applyBorder="1" applyAlignment="1">
      <alignment horizontal="right" vertical="center"/>
    </xf>
    <xf numFmtId="0" fontId="39" fillId="5" borderId="10" xfId="0" applyFont="1" applyFill="1" applyBorder="1" applyAlignment="1">
      <alignment horizontal="right" vertical="center"/>
    </xf>
    <xf numFmtId="0" fontId="39" fillId="5" borderId="2" xfId="0" applyFont="1" applyFill="1" applyBorder="1" applyAlignment="1">
      <alignment horizontal="right" vertical="center"/>
    </xf>
    <xf numFmtId="0" fontId="21" fillId="11" borderId="1" xfId="0" applyFont="1" applyFill="1" applyBorder="1" applyAlignment="1">
      <alignment horizontal="center" vertical="center" wrapText="1"/>
    </xf>
    <xf numFmtId="0" fontId="19" fillId="20" borderId="7" xfId="0" applyFont="1" applyFill="1" applyBorder="1" applyAlignment="1">
      <alignment horizontal="center" vertical="center" wrapText="1"/>
    </xf>
    <xf numFmtId="0" fontId="19" fillId="20" borderId="6" xfId="0" applyFont="1" applyFill="1" applyBorder="1" applyAlignment="1">
      <alignment horizontal="center" vertical="center" wrapText="1"/>
    </xf>
    <xf numFmtId="0" fontId="19" fillId="20" borderId="7" xfId="0" applyFont="1" applyFill="1" applyBorder="1" applyAlignment="1">
      <alignment horizontal="justify" vertical="center" wrapText="1"/>
    </xf>
    <xf numFmtId="0" fontId="19" fillId="20" borderId="6" xfId="0" applyFont="1" applyFill="1" applyBorder="1" applyAlignment="1">
      <alignment horizontal="justify" vertical="center" wrapText="1"/>
    </xf>
    <xf numFmtId="0" fontId="16" fillId="20" borderId="7" xfId="0" applyFont="1" applyFill="1" applyBorder="1" applyAlignment="1">
      <alignment horizontal="center" vertical="center" wrapText="1"/>
    </xf>
    <xf numFmtId="0" fontId="16" fillId="20" borderId="6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justify" vertical="center"/>
    </xf>
    <xf numFmtId="0" fontId="13" fillId="34" borderId="3" xfId="0" applyFont="1" applyFill="1" applyBorder="1" applyAlignment="1">
      <alignment horizontal="center" vertical="center"/>
    </xf>
    <xf numFmtId="0" fontId="13" fillId="34" borderId="10" xfId="0" applyFont="1" applyFill="1" applyBorder="1" applyAlignment="1">
      <alignment horizontal="center" vertical="center"/>
    </xf>
    <xf numFmtId="0" fontId="13" fillId="34" borderId="2" xfId="0" applyFont="1" applyFill="1" applyBorder="1" applyAlignment="1">
      <alignment horizontal="center" vertical="center"/>
    </xf>
    <xf numFmtId="165" fontId="23" fillId="29" borderId="3" xfId="1" applyFont="1" applyFill="1" applyBorder="1" applyAlignment="1" applyProtection="1">
      <alignment horizontal="center" vertical="top" wrapText="1"/>
    </xf>
    <xf numFmtId="165" fontId="23" fillId="29" borderId="10" xfId="1" applyFont="1" applyFill="1" applyBorder="1" applyAlignment="1" applyProtection="1">
      <alignment horizontal="center" vertical="top" wrapText="1"/>
    </xf>
    <xf numFmtId="165" fontId="23" fillId="29" borderId="2" xfId="1" applyFont="1" applyFill="1" applyBorder="1" applyAlignment="1" applyProtection="1">
      <alignment horizontal="center" vertical="top" wrapText="1"/>
    </xf>
    <xf numFmtId="0" fontId="21" fillId="20" borderId="1" xfId="0" applyFont="1" applyFill="1" applyBorder="1" applyAlignment="1">
      <alignment horizontal="center" vertical="center" wrapText="1"/>
    </xf>
    <xf numFmtId="0" fontId="71" fillId="74" borderId="24" xfId="0" applyFont="1" applyFill="1" applyBorder="1" applyAlignment="1">
      <alignment horizontal="center" vertical="center"/>
    </xf>
    <xf numFmtId="0" fontId="55" fillId="34" borderId="24" xfId="0" applyFont="1" applyFill="1" applyBorder="1" applyAlignment="1">
      <alignment horizontal="center" wrapText="1"/>
    </xf>
    <xf numFmtId="0" fontId="55" fillId="34" borderId="12" xfId="0" applyFont="1" applyFill="1" applyBorder="1" applyAlignment="1">
      <alignment horizontal="center" wrapText="1"/>
    </xf>
    <xf numFmtId="0" fontId="16" fillId="69" borderId="35" xfId="0" applyFont="1" applyFill="1" applyBorder="1" applyAlignment="1">
      <alignment horizontal="center" vertical="center" wrapText="1"/>
    </xf>
    <xf numFmtId="0" fontId="16" fillId="69" borderId="6" xfId="0" applyFont="1" applyFill="1" applyBorder="1" applyAlignment="1">
      <alignment horizontal="center" vertical="center" wrapText="1"/>
    </xf>
    <xf numFmtId="0" fontId="16" fillId="69" borderId="21" xfId="0" applyFont="1" applyFill="1" applyBorder="1" applyAlignment="1">
      <alignment horizontal="center" vertical="top" wrapText="1"/>
    </xf>
    <xf numFmtId="0" fontId="16" fillId="69" borderId="22" xfId="0" applyFont="1" applyFill="1" applyBorder="1" applyAlignment="1">
      <alignment horizontal="center" vertical="top" wrapText="1"/>
    </xf>
    <xf numFmtId="0" fontId="16" fillId="69" borderId="23" xfId="0" applyFont="1" applyFill="1" applyBorder="1" applyAlignment="1">
      <alignment horizontal="center" vertical="top" wrapText="1"/>
    </xf>
    <xf numFmtId="0" fontId="20" fillId="70" borderId="35" xfId="0" applyFont="1" applyFill="1" applyBorder="1" applyAlignment="1">
      <alignment horizontal="center" vertical="center" wrapText="1"/>
    </xf>
    <xf numFmtId="0" fontId="20" fillId="70" borderId="6" xfId="0" applyFont="1" applyFill="1" applyBorder="1" applyAlignment="1">
      <alignment horizontal="center" vertical="center" wrapText="1"/>
    </xf>
    <xf numFmtId="0" fontId="16" fillId="20" borderId="23" xfId="0" applyFont="1" applyFill="1" applyBorder="1" applyAlignment="1">
      <alignment horizontal="center" vertical="center" wrapText="1"/>
    </xf>
    <xf numFmtId="0" fontId="16" fillId="20" borderId="24" xfId="0" applyFont="1" applyFill="1" applyBorder="1" applyAlignment="1">
      <alignment horizontal="center" vertical="center" wrapText="1"/>
    </xf>
    <xf numFmtId="0" fontId="54" fillId="36" borderId="29" xfId="0" applyFont="1" applyFill="1" applyBorder="1" applyAlignment="1">
      <alignment horizontal="center" vertical="center" wrapText="1"/>
    </xf>
    <xf numFmtId="0" fontId="54" fillId="36" borderId="41" xfId="0" applyFont="1" applyFill="1" applyBorder="1" applyAlignment="1">
      <alignment horizontal="center" vertical="center" wrapText="1"/>
    </xf>
    <xf numFmtId="0" fontId="16" fillId="19" borderId="21" xfId="0" applyFont="1" applyFill="1" applyBorder="1" applyAlignment="1">
      <alignment horizontal="right" vertical="center" wrapText="1"/>
    </xf>
    <xf numFmtId="0" fontId="16" fillId="19" borderId="22" xfId="0" applyFont="1" applyFill="1" applyBorder="1" applyAlignment="1">
      <alignment horizontal="right" vertical="center" wrapText="1"/>
    </xf>
    <xf numFmtId="0" fontId="16" fillId="19" borderId="23" xfId="0" applyFont="1" applyFill="1" applyBorder="1" applyAlignment="1">
      <alignment horizontal="right" vertical="center" wrapText="1"/>
    </xf>
    <xf numFmtId="0" fontId="17" fillId="19" borderId="21" xfId="0" applyFont="1" applyFill="1" applyBorder="1" applyAlignment="1">
      <alignment horizontal="right" vertical="center" wrapText="1"/>
    </xf>
    <xf numFmtId="0" fontId="17" fillId="19" borderId="22" xfId="0" applyFont="1" applyFill="1" applyBorder="1" applyAlignment="1">
      <alignment horizontal="right" vertical="center" wrapText="1"/>
    </xf>
    <xf numFmtId="0" fontId="17" fillId="19" borderId="46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/>
    </xf>
    <xf numFmtId="0" fontId="86" fillId="0" borderId="0" xfId="0" applyFont="1" applyBorder="1" applyAlignment="1">
      <alignment horizontal="left" vertical="top" wrapText="1"/>
    </xf>
    <xf numFmtId="0" fontId="17" fillId="19" borderId="21" xfId="0" applyFont="1" applyFill="1" applyBorder="1" applyAlignment="1">
      <alignment horizontal="right" vertical="center"/>
    </xf>
    <xf numFmtId="0" fontId="17" fillId="19" borderId="22" xfId="0" applyFont="1" applyFill="1" applyBorder="1" applyAlignment="1">
      <alignment horizontal="right" vertical="center"/>
    </xf>
    <xf numFmtId="0" fontId="17" fillId="19" borderId="46" xfId="0" applyFont="1" applyFill="1" applyBorder="1" applyAlignment="1">
      <alignment horizontal="right" vertical="center"/>
    </xf>
    <xf numFmtId="0" fontId="71" fillId="74" borderId="0" xfId="0" applyFont="1" applyFill="1" applyAlignment="1">
      <alignment horizontal="center" vertical="center"/>
    </xf>
    <xf numFmtId="0" fontId="50" fillId="72" borderId="24" xfId="0" applyFont="1" applyFill="1" applyBorder="1" applyAlignment="1">
      <alignment horizontal="right" vertical="center" wrapText="1"/>
    </xf>
    <xf numFmtId="0" fontId="36" fillId="0" borderId="0" xfId="0" applyFont="1" applyBorder="1" applyAlignment="1">
      <alignment horizontal="justify" wrapText="1"/>
    </xf>
    <xf numFmtId="49" fontId="82" fillId="0" borderId="0" xfId="0" applyNumberFormat="1" applyFont="1" applyBorder="1" applyAlignment="1">
      <alignment horizontal="justify"/>
    </xf>
    <xf numFmtId="0" fontId="50" fillId="72" borderId="24" xfId="0" applyFont="1" applyFill="1" applyBorder="1" applyAlignment="1">
      <alignment horizontal="right" vertical="center"/>
    </xf>
    <xf numFmtId="0" fontId="16" fillId="65" borderId="35" xfId="0" applyFont="1" applyFill="1" applyBorder="1" applyAlignment="1">
      <alignment horizontal="center" vertical="center" wrapText="1"/>
    </xf>
    <xf numFmtId="0" fontId="16" fillId="65" borderId="6" xfId="0" applyFont="1" applyFill="1" applyBorder="1" applyAlignment="1">
      <alignment horizontal="center" vertical="center" wrapText="1"/>
    </xf>
    <xf numFmtId="0" fontId="20" fillId="64" borderId="35" xfId="0" applyFont="1" applyFill="1" applyBorder="1" applyAlignment="1">
      <alignment horizontal="center" vertical="top" wrapText="1"/>
    </xf>
    <xf numFmtId="0" fontId="20" fillId="64" borderId="6" xfId="0" applyFont="1" applyFill="1" applyBorder="1" applyAlignment="1">
      <alignment horizontal="center" vertical="top" wrapText="1"/>
    </xf>
    <xf numFmtId="0" fontId="34" fillId="0" borderId="0" xfId="0" applyFont="1" applyAlignment="1">
      <alignment horizontal="left" vertical="top" wrapText="1"/>
    </xf>
    <xf numFmtId="2" fontId="71" fillId="74" borderId="24" xfId="0" applyNumberFormat="1" applyFont="1" applyFill="1" applyBorder="1" applyAlignment="1">
      <alignment horizontal="center" vertical="center"/>
    </xf>
    <xf numFmtId="0" fontId="82" fillId="0" borderId="0" xfId="0" applyFont="1" applyAlignment="1">
      <alignment horizontal="left" vertical="center" wrapText="1"/>
    </xf>
    <xf numFmtId="0" fontId="82" fillId="0" borderId="0" xfId="0" applyFont="1" applyAlignment="1">
      <alignment horizontal="left" vertical="center"/>
    </xf>
    <xf numFmtId="0" fontId="14" fillId="22" borderId="24" xfId="0" applyFont="1" applyFill="1" applyBorder="1" applyAlignment="1">
      <alignment horizontal="right" vertical="center"/>
    </xf>
    <xf numFmtId="0" fontId="16" fillId="16" borderId="24" xfId="0" applyFont="1" applyFill="1" applyBorder="1" applyAlignment="1">
      <alignment horizontal="center" vertical="center" wrapText="1"/>
    </xf>
    <xf numFmtId="0" fontId="57" fillId="62" borderId="41" xfId="0" applyFont="1" applyFill="1" applyBorder="1" applyAlignment="1">
      <alignment horizontal="center" vertical="top" wrapText="1"/>
    </xf>
    <xf numFmtId="0" fontId="57" fillId="62" borderId="32" xfId="0" applyFont="1" applyFill="1" applyBorder="1" applyAlignment="1">
      <alignment horizontal="center" vertical="top" wrapText="1"/>
    </xf>
    <xf numFmtId="0" fontId="16" fillId="14" borderId="21" xfId="0" applyFont="1" applyFill="1" applyBorder="1" applyAlignment="1">
      <alignment horizontal="center" vertical="center"/>
    </xf>
    <xf numFmtId="0" fontId="16" fillId="14" borderId="22" xfId="0" applyFont="1" applyFill="1" applyBorder="1" applyAlignment="1">
      <alignment horizontal="center" vertical="center"/>
    </xf>
    <xf numFmtId="0" fontId="16" fillId="14" borderId="23" xfId="0" applyFont="1" applyFill="1" applyBorder="1" applyAlignment="1">
      <alignment horizontal="center" vertical="center"/>
    </xf>
    <xf numFmtId="0" fontId="20" fillId="16" borderId="24" xfId="0" applyFont="1" applyFill="1" applyBorder="1" applyAlignment="1">
      <alignment horizontal="center" vertical="center" wrapText="1"/>
    </xf>
    <xf numFmtId="0" fontId="14" fillId="22" borderId="24" xfId="0" applyFont="1" applyFill="1" applyBorder="1" applyAlignment="1">
      <alignment horizontal="right" vertical="center" wrapText="1"/>
    </xf>
    <xf numFmtId="0" fontId="39" fillId="0" borderId="0" xfId="0" applyFont="1" applyBorder="1" applyAlignment="1">
      <alignment horizontal="justify" vertical="center"/>
    </xf>
    <xf numFmtId="0" fontId="34" fillId="5" borderId="5" xfId="0" applyFont="1" applyFill="1" applyBorder="1" applyAlignment="1">
      <alignment horizontal="left" vertical="center" wrapText="1"/>
    </xf>
    <xf numFmtId="0" fontId="16" fillId="65" borderId="24" xfId="0" applyFont="1" applyFill="1" applyBorder="1" applyAlignment="1">
      <alignment horizontal="center" vertical="center" wrapText="1"/>
    </xf>
    <xf numFmtId="0" fontId="16" fillId="68" borderId="24" xfId="0" applyFont="1" applyFill="1" applyBorder="1" applyAlignment="1">
      <alignment horizontal="center" vertical="center" wrapText="1" shrinkToFit="1"/>
    </xf>
    <xf numFmtId="0" fontId="20" fillId="64" borderId="24" xfId="0" applyFont="1" applyFill="1" applyBorder="1" applyAlignment="1">
      <alignment horizontal="center" vertical="center" wrapText="1"/>
    </xf>
    <xf numFmtId="0" fontId="23" fillId="22" borderId="24" xfId="0" applyFont="1" applyFill="1" applyBorder="1" applyAlignment="1">
      <alignment horizontal="right" vertical="center" wrapText="1"/>
    </xf>
    <xf numFmtId="0" fontId="23" fillId="22" borderId="24" xfId="0" applyFont="1" applyFill="1" applyBorder="1" applyAlignment="1">
      <alignment horizontal="right" vertical="center"/>
    </xf>
    <xf numFmtId="0" fontId="87" fillId="0" borderId="0" xfId="0" applyFont="1" applyAlignment="1">
      <alignment horizontal="left" vertical="center" wrapText="1"/>
    </xf>
    <xf numFmtId="0" fontId="14" fillId="14" borderId="24" xfId="0" applyFont="1" applyFill="1" applyBorder="1" applyAlignment="1">
      <alignment horizontal="center" vertical="center"/>
    </xf>
    <xf numFmtId="0" fontId="43" fillId="14" borderId="0" xfId="0" applyFont="1" applyFill="1" applyBorder="1" applyAlignment="1">
      <alignment horizontal="center" vertical="center"/>
    </xf>
    <xf numFmtId="49" fontId="36" fillId="14" borderId="33" xfId="0" applyNumberFormat="1" applyFont="1" applyFill="1" applyBorder="1" applyAlignment="1">
      <alignment horizontal="justify" vertical="center" wrapText="1"/>
    </xf>
    <xf numFmtId="49" fontId="36" fillId="14" borderId="13" xfId="0" applyNumberFormat="1" applyFont="1" applyFill="1" applyBorder="1" applyAlignment="1">
      <alignment horizontal="justify" vertical="center" wrapText="1"/>
    </xf>
    <xf numFmtId="49" fontId="36" fillId="14" borderId="11" xfId="0" applyNumberFormat="1" applyFont="1" applyFill="1" applyBorder="1" applyAlignment="1">
      <alignment horizontal="justify" vertical="center" wrapText="1"/>
    </xf>
    <xf numFmtId="49" fontId="36" fillId="14" borderId="8" xfId="0" applyNumberFormat="1" applyFont="1" applyFill="1" applyBorder="1" applyAlignment="1">
      <alignment horizontal="justify" vertical="center" wrapText="1"/>
    </xf>
    <xf numFmtId="49" fontId="55" fillId="0" borderId="35" xfId="0" applyNumberFormat="1" applyFont="1" applyBorder="1" applyAlignment="1">
      <alignment horizontal="justify" vertical="center" wrapText="1"/>
    </xf>
    <xf numFmtId="49" fontId="55" fillId="0" borderId="6" xfId="0" applyNumberFormat="1" applyFont="1" applyBorder="1" applyAlignment="1">
      <alignment horizontal="justify" vertical="center" wrapText="1"/>
    </xf>
    <xf numFmtId="177" fontId="93" fillId="11" borderId="35" xfId="0" applyNumberFormat="1" applyFont="1" applyFill="1" applyBorder="1" applyAlignment="1">
      <alignment horizontal="center" vertical="center"/>
    </xf>
    <xf numFmtId="177" fontId="93" fillId="11" borderId="6" xfId="0" applyNumberFormat="1" applyFont="1" applyFill="1" applyBorder="1" applyAlignment="1">
      <alignment horizontal="center" vertical="center"/>
    </xf>
    <xf numFmtId="0" fontId="14" fillId="14" borderId="35" xfId="0" applyFont="1" applyFill="1" applyBorder="1" applyAlignment="1">
      <alignment horizontal="center" vertical="center"/>
    </xf>
    <xf numFmtId="0" fontId="14" fillId="14" borderId="12" xfId="0" applyFont="1" applyFill="1" applyBorder="1" applyAlignment="1">
      <alignment horizontal="center" vertical="center"/>
    </xf>
    <xf numFmtId="0" fontId="14" fillId="14" borderId="6" xfId="0" applyFont="1" applyFill="1" applyBorder="1" applyAlignment="1">
      <alignment horizontal="center" vertical="center"/>
    </xf>
    <xf numFmtId="49" fontId="55" fillId="0" borderId="21" xfId="0" applyNumberFormat="1" applyFont="1" applyBorder="1" applyAlignment="1">
      <alignment horizontal="justify" vertical="center" wrapText="1"/>
    </xf>
    <xf numFmtId="49" fontId="55" fillId="0" borderId="22" xfId="0" applyNumberFormat="1" applyFont="1" applyBorder="1" applyAlignment="1">
      <alignment horizontal="justify" vertical="center" wrapText="1"/>
    </xf>
    <xf numFmtId="49" fontId="55" fillId="0" borderId="23" xfId="0" applyNumberFormat="1" applyFont="1" applyBorder="1" applyAlignment="1">
      <alignment horizontal="justify" vertical="center" wrapText="1"/>
    </xf>
    <xf numFmtId="2" fontId="27" fillId="0" borderId="24" xfId="0" applyNumberFormat="1" applyFont="1" applyBorder="1" applyAlignment="1">
      <alignment horizontal="left" vertical="center"/>
    </xf>
    <xf numFmtId="2" fontId="27" fillId="0" borderId="21" xfId="0" applyNumberFormat="1" applyFont="1" applyBorder="1" applyAlignment="1">
      <alignment horizontal="left" vertical="center"/>
    </xf>
    <xf numFmtId="4" fontId="27" fillId="20" borderId="33" xfId="0" applyNumberFormat="1" applyFont="1" applyFill="1" applyBorder="1" applyAlignment="1">
      <alignment horizontal="center" vertical="center"/>
    </xf>
    <xf numFmtId="4" fontId="27" fillId="20" borderId="5" xfId="0" applyNumberFormat="1" applyFont="1" applyFill="1" applyBorder="1" applyAlignment="1">
      <alignment horizontal="center" vertical="center"/>
    </xf>
    <xf numFmtId="2" fontId="27" fillId="0" borderId="22" xfId="0" applyNumberFormat="1" applyFont="1" applyBorder="1" applyAlignment="1">
      <alignment horizontal="left" vertical="center"/>
    </xf>
    <xf numFmtId="0" fontId="27" fillId="0" borderId="0" xfId="0" applyFont="1" applyAlignment="1">
      <alignment horizontal="center"/>
    </xf>
    <xf numFmtId="49" fontId="55" fillId="20" borderId="0" xfId="0" applyNumberFormat="1" applyFont="1" applyFill="1" applyBorder="1" applyAlignment="1">
      <alignment horizontal="justify" vertical="center" wrapText="1"/>
    </xf>
    <xf numFmtId="177" fontId="93" fillId="20" borderId="0" xfId="0" applyNumberFormat="1" applyFont="1" applyFill="1" applyBorder="1" applyAlignment="1">
      <alignment horizontal="center" vertical="center"/>
    </xf>
    <xf numFmtId="0" fontId="26" fillId="0" borderId="1" xfId="0" applyFont="1" applyBorder="1" applyAlignment="1" applyProtection="1">
      <alignment horizontal="center" vertical="top" wrapText="1"/>
      <protection locked="0"/>
    </xf>
    <xf numFmtId="0" fontId="26" fillId="40" borderId="1" xfId="0" applyFont="1" applyFill="1" applyBorder="1" applyAlignment="1" applyProtection="1">
      <alignment horizontal="center" vertical="top" wrapText="1"/>
      <protection locked="0"/>
    </xf>
    <xf numFmtId="0" fontId="26" fillId="0" borderId="7" xfId="0" applyFont="1" applyBorder="1" applyAlignment="1" applyProtection="1">
      <alignment horizontal="center" vertical="top" wrapText="1"/>
      <protection locked="0"/>
    </xf>
    <xf numFmtId="0" fontId="26" fillId="40" borderId="7" xfId="0" applyFont="1" applyFill="1" applyBorder="1" applyAlignment="1" applyProtection="1">
      <alignment horizontal="center" vertical="top" wrapText="1"/>
      <protection locked="0"/>
    </xf>
    <xf numFmtId="0" fontId="26" fillId="40" borderId="12" xfId="0" applyFont="1" applyFill="1" applyBorder="1" applyAlignment="1" applyProtection="1">
      <alignment horizontal="center" vertical="top" wrapText="1"/>
      <protection locked="0"/>
    </xf>
    <xf numFmtId="0" fontId="26" fillId="40" borderId="6" xfId="0" applyFont="1" applyFill="1" applyBorder="1" applyAlignment="1" applyProtection="1">
      <alignment horizontal="center" vertical="top" wrapText="1"/>
      <protection locked="0"/>
    </xf>
    <xf numFmtId="0" fontId="26" fillId="32" borderId="1" xfId="0" applyFont="1" applyFill="1" applyBorder="1" applyAlignment="1" applyProtection="1">
      <alignment horizontal="center" vertical="top" wrapText="1"/>
      <protection locked="0"/>
    </xf>
    <xf numFmtId="0" fontId="61" fillId="51" borderId="1" xfId="0" applyFont="1" applyFill="1" applyBorder="1" applyAlignment="1" applyProtection="1">
      <alignment horizontal="center" vertical="top"/>
      <protection locked="0"/>
    </xf>
    <xf numFmtId="0" fontId="16" fillId="0" borderId="1" xfId="0" applyFont="1" applyBorder="1" applyAlignment="1" applyProtection="1">
      <alignment horizontal="center" vertical="top"/>
      <protection locked="0"/>
    </xf>
    <xf numFmtId="0" fontId="26" fillId="39" borderId="1" xfId="0" applyFont="1" applyFill="1" applyBorder="1" applyAlignment="1" applyProtection="1">
      <alignment horizontal="center" vertical="top" wrapText="1"/>
      <protection locked="0"/>
    </xf>
    <xf numFmtId="0" fontId="26" fillId="20" borderId="1" xfId="0" applyFont="1" applyFill="1" applyBorder="1" applyAlignment="1" applyProtection="1">
      <alignment horizontal="center" vertical="top" wrapText="1"/>
      <protection locked="0"/>
    </xf>
    <xf numFmtId="0" fontId="16" fillId="40" borderId="1" xfId="0" applyFont="1" applyFill="1" applyBorder="1" applyAlignment="1" applyProtection="1">
      <alignment horizontal="center" vertical="top"/>
      <protection locked="0"/>
    </xf>
    <xf numFmtId="0" fontId="26" fillId="40" borderId="3" xfId="0" applyFont="1" applyFill="1" applyBorder="1" applyAlignment="1" applyProtection="1">
      <alignment horizontal="right" vertical="top"/>
      <protection locked="0"/>
    </xf>
    <xf numFmtId="0" fontId="16" fillId="40" borderId="3" xfId="0" applyFont="1" applyFill="1" applyBorder="1" applyAlignment="1" applyProtection="1">
      <alignment horizontal="right" vertical="top"/>
      <protection locked="0"/>
    </xf>
    <xf numFmtId="0" fontId="16" fillId="40" borderId="2" xfId="0" applyFont="1" applyFill="1" applyBorder="1" applyAlignment="1" applyProtection="1">
      <alignment horizontal="right" vertical="top"/>
      <protection locked="0"/>
    </xf>
    <xf numFmtId="174" fontId="26" fillId="40" borderId="1" xfId="0" applyNumberFormat="1" applyFont="1" applyFill="1" applyBorder="1" applyAlignment="1" applyProtection="1">
      <alignment horizontal="center" vertical="top" wrapText="1"/>
      <protection locked="0"/>
    </xf>
    <xf numFmtId="0" fontId="17" fillId="0" borderId="24" xfId="0" applyFont="1" applyBorder="1" applyAlignment="1">
      <alignment horizontal="center" vertical="center"/>
    </xf>
    <xf numFmtId="0" fontId="57" fillId="35" borderId="46" xfId="0" applyFont="1" applyFill="1" applyBorder="1" applyAlignment="1">
      <alignment horizontal="right" vertical="center"/>
    </xf>
    <xf numFmtId="0" fontId="16" fillId="25" borderId="21" xfId="0" applyFont="1" applyFill="1" applyBorder="1" applyAlignment="1">
      <alignment horizontal="right" vertical="center"/>
    </xf>
    <xf numFmtId="0" fontId="16" fillId="25" borderId="22" xfId="0" applyFont="1" applyFill="1" applyBorder="1" applyAlignment="1">
      <alignment horizontal="right" vertical="center"/>
    </xf>
    <xf numFmtId="0" fontId="16" fillId="25" borderId="23" xfId="0" applyFont="1" applyFill="1" applyBorder="1" applyAlignment="1">
      <alignment horizontal="right" vertical="center"/>
    </xf>
    <xf numFmtId="0" fontId="17" fillId="6" borderId="22" xfId="0" applyFont="1" applyFill="1" applyBorder="1" applyAlignment="1">
      <alignment horizontal="center" vertical="center"/>
    </xf>
    <xf numFmtId="49" fontId="59" fillId="47" borderId="22" xfId="0" applyNumberFormat="1" applyFont="1" applyFill="1" applyBorder="1" applyAlignment="1">
      <alignment horizontal="right" vertical="center"/>
    </xf>
    <xf numFmtId="49" fontId="59" fillId="47" borderId="46" xfId="0" applyNumberFormat="1" applyFont="1" applyFill="1" applyBorder="1" applyAlignment="1">
      <alignment horizontal="right" vertical="center"/>
    </xf>
    <xf numFmtId="0" fontId="17" fillId="0" borderId="46" xfId="0" applyFont="1" applyBorder="1" applyAlignment="1">
      <alignment horizontal="left" vertical="center"/>
    </xf>
    <xf numFmtId="49" fontId="17" fillId="25" borderId="22" xfId="0" applyNumberFormat="1" applyFont="1" applyFill="1" applyBorder="1" applyAlignment="1">
      <alignment horizontal="right" vertical="center"/>
    </xf>
    <xf numFmtId="49" fontId="17" fillId="25" borderId="46" xfId="0" applyNumberFormat="1" applyFont="1" applyFill="1" applyBorder="1" applyAlignment="1">
      <alignment horizontal="right" vertical="center"/>
    </xf>
    <xf numFmtId="0" fontId="17" fillId="15" borderId="22" xfId="0" applyFont="1" applyFill="1" applyBorder="1" applyAlignment="1">
      <alignment horizontal="center" vertical="center"/>
    </xf>
    <xf numFmtId="0" fontId="17" fillId="15" borderId="23" xfId="0" applyFont="1" applyFill="1" applyBorder="1" applyAlignment="1">
      <alignment horizontal="center" vertical="center"/>
    </xf>
    <xf numFmtId="49" fontId="17" fillId="14" borderId="22" xfId="0" applyNumberFormat="1" applyFont="1" applyFill="1" applyBorder="1" applyAlignment="1">
      <alignment horizontal="center" vertical="center"/>
    </xf>
    <xf numFmtId="0" fontId="42" fillId="28" borderId="9" xfId="0" applyFont="1" applyFill="1" applyBorder="1" applyAlignment="1">
      <alignment vertical="center"/>
    </xf>
    <xf numFmtId="0" fontId="42" fillId="28" borderId="11" xfId="0" applyFont="1" applyFill="1" applyBorder="1" applyAlignment="1">
      <alignment vertical="center"/>
    </xf>
    <xf numFmtId="0" fontId="42" fillId="28" borderId="8" xfId="0" applyFont="1" applyFill="1" applyBorder="1" applyAlignment="1">
      <alignment vertical="center"/>
    </xf>
    <xf numFmtId="0" fontId="17" fillId="25" borderId="22" xfId="0" applyFont="1" applyFill="1" applyBorder="1" applyAlignment="1">
      <alignment horizontal="right" vertical="center"/>
    </xf>
    <xf numFmtId="0" fontId="17" fillId="25" borderId="46" xfId="0" applyFont="1" applyFill="1" applyBorder="1" applyAlignment="1">
      <alignment horizontal="right" vertical="center"/>
    </xf>
    <xf numFmtId="0" fontId="17" fillId="0" borderId="24" xfId="0" applyFont="1" applyBorder="1" applyAlignment="1">
      <alignment horizontal="center" vertical="center"/>
    </xf>
  </cellXfs>
  <cellStyles count="5">
    <cellStyle name="Item" xfId="2"/>
    <cellStyle name="Moeda" xfId="1" builtinId="4"/>
    <cellStyle name="Normal" xfId="0" builtinId="0"/>
    <cellStyle name="ObsSIMPLES" xfId="4"/>
    <cellStyle name="Valor Texto Editável" xfId="3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66"/>
      <color rgb="FFFFFF99"/>
      <color rgb="FF00FFFF"/>
      <color rgb="FF33CC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39997558519241921"/>
    <pageSetUpPr fitToPage="1"/>
  </sheetPr>
  <dimension ref="A1:H38"/>
  <sheetViews>
    <sheetView showGridLines="0" topLeftCell="A16" workbookViewId="0">
      <selection activeCell="J39" sqref="J39"/>
    </sheetView>
  </sheetViews>
  <sheetFormatPr defaultColWidth="11.5546875" defaultRowHeight="12.75" customHeight="1"/>
  <cols>
    <col min="1" max="1" width="22.88671875" style="262" customWidth="1"/>
    <col min="2" max="2" width="26.109375" style="262" customWidth="1"/>
    <col min="3" max="3" width="20" style="262" customWidth="1"/>
    <col min="4" max="4" width="16.6640625" style="262" customWidth="1"/>
    <col min="5" max="5" width="11.5546875" style="262"/>
    <col min="6" max="6" width="18" style="262" customWidth="1"/>
    <col min="7" max="254" width="11.5546875" style="262"/>
    <col min="255" max="255" width="22.88671875" style="262" customWidth="1"/>
    <col min="256" max="256" width="26.109375" style="262" customWidth="1"/>
    <col min="257" max="257" width="20" style="262" customWidth="1"/>
    <col min="258" max="258" width="16.6640625" style="262" customWidth="1"/>
    <col min="259" max="259" width="11.5546875" style="262"/>
    <col min="260" max="260" width="18" style="262" customWidth="1"/>
    <col min="261" max="261" width="11.5546875" style="262"/>
    <col min="262" max="262" width="25.6640625" style="262" customWidth="1"/>
    <col min="263" max="510" width="11.5546875" style="262"/>
    <col min="511" max="511" width="22.88671875" style="262" customWidth="1"/>
    <col min="512" max="512" width="26.109375" style="262" customWidth="1"/>
    <col min="513" max="513" width="20" style="262" customWidth="1"/>
    <col min="514" max="514" width="16.6640625" style="262" customWidth="1"/>
    <col min="515" max="515" width="11.5546875" style="262"/>
    <col min="516" max="516" width="18" style="262" customWidth="1"/>
    <col min="517" max="517" width="11.5546875" style="262"/>
    <col min="518" max="518" width="25.6640625" style="262" customWidth="1"/>
    <col min="519" max="766" width="11.5546875" style="262"/>
    <col min="767" max="767" width="22.88671875" style="262" customWidth="1"/>
    <col min="768" max="768" width="26.109375" style="262" customWidth="1"/>
    <col min="769" max="769" width="20" style="262" customWidth="1"/>
    <col min="770" max="770" width="16.6640625" style="262" customWidth="1"/>
    <col min="771" max="771" width="11.5546875" style="262"/>
    <col min="772" max="772" width="18" style="262" customWidth="1"/>
    <col min="773" max="773" width="11.5546875" style="262"/>
    <col min="774" max="774" width="25.6640625" style="262" customWidth="1"/>
    <col min="775" max="1022" width="11.5546875" style="262"/>
    <col min="1023" max="1023" width="22.88671875" style="262" customWidth="1"/>
    <col min="1024" max="1024" width="26.109375" style="262" customWidth="1"/>
    <col min="1025" max="1025" width="20" style="262" customWidth="1"/>
    <col min="1026" max="1026" width="16.6640625" style="262" customWidth="1"/>
    <col min="1027" max="1027" width="11.5546875" style="262"/>
    <col min="1028" max="1028" width="18" style="262" customWidth="1"/>
    <col min="1029" max="1029" width="11.5546875" style="262"/>
    <col min="1030" max="1030" width="25.6640625" style="262" customWidth="1"/>
    <col min="1031" max="1278" width="11.5546875" style="262"/>
    <col min="1279" max="1279" width="22.88671875" style="262" customWidth="1"/>
    <col min="1280" max="1280" width="26.109375" style="262" customWidth="1"/>
    <col min="1281" max="1281" width="20" style="262" customWidth="1"/>
    <col min="1282" max="1282" width="16.6640625" style="262" customWidth="1"/>
    <col min="1283" max="1283" width="11.5546875" style="262"/>
    <col min="1284" max="1284" width="18" style="262" customWidth="1"/>
    <col min="1285" max="1285" width="11.5546875" style="262"/>
    <col min="1286" max="1286" width="25.6640625" style="262" customWidth="1"/>
    <col min="1287" max="1534" width="11.5546875" style="262"/>
    <col min="1535" max="1535" width="22.88671875" style="262" customWidth="1"/>
    <col min="1536" max="1536" width="26.109375" style="262" customWidth="1"/>
    <col min="1537" max="1537" width="20" style="262" customWidth="1"/>
    <col min="1538" max="1538" width="16.6640625" style="262" customWidth="1"/>
    <col min="1539" max="1539" width="11.5546875" style="262"/>
    <col min="1540" max="1540" width="18" style="262" customWidth="1"/>
    <col min="1541" max="1541" width="11.5546875" style="262"/>
    <col min="1542" max="1542" width="25.6640625" style="262" customWidth="1"/>
    <col min="1543" max="1790" width="11.5546875" style="262"/>
    <col min="1791" max="1791" width="22.88671875" style="262" customWidth="1"/>
    <col min="1792" max="1792" width="26.109375" style="262" customWidth="1"/>
    <col min="1793" max="1793" width="20" style="262" customWidth="1"/>
    <col min="1794" max="1794" width="16.6640625" style="262" customWidth="1"/>
    <col min="1795" max="1795" width="11.5546875" style="262"/>
    <col min="1796" max="1796" width="18" style="262" customWidth="1"/>
    <col min="1797" max="1797" width="11.5546875" style="262"/>
    <col min="1798" max="1798" width="25.6640625" style="262" customWidth="1"/>
    <col min="1799" max="2046" width="11.5546875" style="262"/>
    <col min="2047" max="2047" width="22.88671875" style="262" customWidth="1"/>
    <col min="2048" max="2048" width="26.109375" style="262" customWidth="1"/>
    <col min="2049" max="2049" width="20" style="262" customWidth="1"/>
    <col min="2050" max="2050" width="16.6640625" style="262" customWidth="1"/>
    <col min="2051" max="2051" width="11.5546875" style="262"/>
    <col min="2052" max="2052" width="18" style="262" customWidth="1"/>
    <col min="2053" max="2053" width="11.5546875" style="262"/>
    <col min="2054" max="2054" width="25.6640625" style="262" customWidth="1"/>
    <col min="2055" max="2302" width="11.5546875" style="262"/>
    <col min="2303" max="2303" width="22.88671875" style="262" customWidth="1"/>
    <col min="2304" max="2304" width="26.109375" style="262" customWidth="1"/>
    <col min="2305" max="2305" width="20" style="262" customWidth="1"/>
    <col min="2306" max="2306" width="16.6640625" style="262" customWidth="1"/>
    <col min="2307" max="2307" width="11.5546875" style="262"/>
    <col min="2308" max="2308" width="18" style="262" customWidth="1"/>
    <col min="2309" max="2309" width="11.5546875" style="262"/>
    <col min="2310" max="2310" width="25.6640625" style="262" customWidth="1"/>
    <col min="2311" max="2558" width="11.5546875" style="262"/>
    <col min="2559" max="2559" width="22.88671875" style="262" customWidth="1"/>
    <col min="2560" max="2560" width="26.109375" style="262" customWidth="1"/>
    <col min="2561" max="2561" width="20" style="262" customWidth="1"/>
    <col min="2562" max="2562" width="16.6640625" style="262" customWidth="1"/>
    <col min="2563" max="2563" width="11.5546875" style="262"/>
    <col min="2564" max="2564" width="18" style="262" customWidth="1"/>
    <col min="2565" max="2565" width="11.5546875" style="262"/>
    <col min="2566" max="2566" width="25.6640625" style="262" customWidth="1"/>
    <col min="2567" max="2814" width="11.5546875" style="262"/>
    <col min="2815" max="2815" width="22.88671875" style="262" customWidth="1"/>
    <col min="2816" max="2816" width="26.109375" style="262" customWidth="1"/>
    <col min="2817" max="2817" width="20" style="262" customWidth="1"/>
    <col min="2818" max="2818" width="16.6640625" style="262" customWidth="1"/>
    <col min="2819" max="2819" width="11.5546875" style="262"/>
    <col min="2820" max="2820" width="18" style="262" customWidth="1"/>
    <col min="2821" max="2821" width="11.5546875" style="262"/>
    <col min="2822" max="2822" width="25.6640625" style="262" customWidth="1"/>
    <col min="2823" max="3070" width="11.5546875" style="262"/>
    <col min="3071" max="3071" width="22.88671875" style="262" customWidth="1"/>
    <col min="3072" max="3072" width="26.109375" style="262" customWidth="1"/>
    <col min="3073" max="3073" width="20" style="262" customWidth="1"/>
    <col min="3074" max="3074" width="16.6640625" style="262" customWidth="1"/>
    <col min="3075" max="3075" width="11.5546875" style="262"/>
    <col min="3076" max="3076" width="18" style="262" customWidth="1"/>
    <col min="3077" max="3077" width="11.5546875" style="262"/>
    <col min="3078" max="3078" width="25.6640625" style="262" customWidth="1"/>
    <col min="3079" max="3326" width="11.5546875" style="262"/>
    <col min="3327" max="3327" width="22.88671875" style="262" customWidth="1"/>
    <col min="3328" max="3328" width="26.109375" style="262" customWidth="1"/>
    <col min="3329" max="3329" width="20" style="262" customWidth="1"/>
    <col min="3330" max="3330" width="16.6640625" style="262" customWidth="1"/>
    <col min="3331" max="3331" width="11.5546875" style="262"/>
    <col min="3332" max="3332" width="18" style="262" customWidth="1"/>
    <col min="3333" max="3333" width="11.5546875" style="262"/>
    <col min="3334" max="3334" width="25.6640625" style="262" customWidth="1"/>
    <col min="3335" max="3582" width="11.5546875" style="262"/>
    <col min="3583" max="3583" width="22.88671875" style="262" customWidth="1"/>
    <col min="3584" max="3584" width="26.109375" style="262" customWidth="1"/>
    <col min="3585" max="3585" width="20" style="262" customWidth="1"/>
    <col min="3586" max="3586" width="16.6640625" style="262" customWidth="1"/>
    <col min="3587" max="3587" width="11.5546875" style="262"/>
    <col min="3588" max="3588" width="18" style="262" customWidth="1"/>
    <col min="3589" max="3589" width="11.5546875" style="262"/>
    <col min="3590" max="3590" width="25.6640625" style="262" customWidth="1"/>
    <col min="3591" max="3838" width="11.5546875" style="262"/>
    <col min="3839" max="3839" width="22.88671875" style="262" customWidth="1"/>
    <col min="3840" max="3840" width="26.109375" style="262" customWidth="1"/>
    <col min="3841" max="3841" width="20" style="262" customWidth="1"/>
    <col min="3842" max="3842" width="16.6640625" style="262" customWidth="1"/>
    <col min="3843" max="3843" width="11.5546875" style="262"/>
    <col min="3844" max="3844" width="18" style="262" customWidth="1"/>
    <col min="3845" max="3845" width="11.5546875" style="262"/>
    <col min="3846" max="3846" width="25.6640625" style="262" customWidth="1"/>
    <col min="3847" max="4094" width="11.5546875" style="262"/>
    <col min="4095" max="4095" width="22.88671875" style="262" customWidth="1"/>
    <col min="4096" max="4096" width="26.109375" style="262" customWidth="1"/>
    <col min="4097" max="4097" width="20" style="262" customWidth="1"/>
    <col min="4098" max="4098" width="16.6640625" style="262" customWidth="1"/>
    <col min="4099" max="4099" width="11.5546875" style="262"/>
    <col min="4100" max="4100" width="18" style="262" customWidth="1"/>
    <col min="4101" max="4101" width="11.5546875" style="262"/>
    <col min="4102" max="4102" width="25.6640625" style="262" customWidth="1"/>
    <col min="4103" max="4350" width="11.5546875" style="262"/>
    <col min="4351" max="4351" width="22.88671875" style="262" customWidth="1"/>
    <col min="4352" max="4352" width="26.109375" style="262" customWidth="1"/>
    <col min="4353" max="4353" width="20" style="262" customWidth="1"/>
    <col min="4354" max="4354" width="16.6640625" style="262" customWidth="1"/>
    <col min="4355" max="4355" width="11.5546875" style="262"/>
    <col min="4356" max="4356" width="18" style="262" customWidth="1"/>
    <col min="4357" max="4357" width="11.5546875" style="262"/>
    <col min="4358" max="4358" width="25.6640625" style="262" customWidth="1"/>
    <col min="4359" max="4606" width="11.5546875" style="262"/>
    <col min="4607" max="4607" width="22.88671875" style="262" customWidth="1"/>
    <col min="4608" max="4608" width="26.109375" style="262" customWidth="1"/>
    <col min="4609" max="4609" width="20" style="262" customWidth="1"/>
    <col min="4610" max="4610" width="16.6640625" style="262" customWidth="1"/>
    <col min="4611" max="4611" width="11.5546875" style="262"/>
    <col min="4612" max="4612" width="18" style="262" customWidth="1"/>
    <col min="4613" max="4613" width="11.5546875" style="262"/>
    <col min="4614" max="4614" width="25.6640625" style="262" customWidth="1"/>
    <col min="4615" max="4862" width="11.5546875" style="262"/>
    <col min="4863" max="4863" width="22.88671875" style="262" customWidth="1"/>
    <col min="4864" max="4864" width="26.109375" style="262" customWidth="1"/>
    <col min="4865" max="4865" width="20" style="262" customWidth="1"/>
    <col min="4866" max="4866" width="16.6640625" style="262" customWidth="1"/>
    <col min="4867" max="4867" width="11.5546875" style="262"/>
    <col min="4868" max="4868" width="18" style="262" customWidth="1"/>
    <col min="4869" max="4869" width="11.5546875" style="262"/>
    <col min="4870" max="4870" width="25.6640625" style="262" customWidth="1"/>
    <col min="4871" max="5118" width="11.5546875" style="262"/>
    <col min="5119" max="5119" width="22.88671875" style="262" customWidth="1"/>
    <col min="5120" max="5120" width="26.109375" style="262" customWidth="1"/>
    <col min="5121" max="5121" width="20" style="262" customWidth="1"/>
    <col min="5122" max="5122" width="16.6640625" style="262" customWidth="1"/>
    <col min="5123" max="5123" width="11.5546875" style="262"/>
    <col min="5124" max="5124" width="18" style="262" customWidth="1"/>
    <col min="5125" max="5125" width="11.5546875" style="262"/>
    <col min="5126" max="5126" width="25.6640625" style="262" customWidth="1"/>
    <col min="5127" max="5374" width="11.5546875" style="262"/>
    <col min="5375" max="5375" width="22.88671875" style="262" customWidth="1"/>
    <col min="5376" max="5376" width="26.109375" style="262" customWidth="1"/>
    <col min="5377" max="5377" width="20" style="262" customWidth="1"/>
    <col min="5378" max="5378" width="16.6640625" style="262" customWidth="1"/>
    <col min="5379" max="5379" width="11.5546875" style="262"/>
    <col min="5380" max="5380" width="18" style="262" customWidth="1"/>
    <col min="5381" max="5381" width="11.5546875" style="262"/>
    <col min="5382" max="5382" width="25.6640625" style="262" customWidth="1"/>
    <col min="5383" max="5630" width="11.5546875" style="262"/>
    <col min="5631" max="5631" width="22.88671875" style="262" customWidth="1"/>
    <col min="5632" max="5632" width="26.109375" style="262" customWidth="1"/>
    <col min="5633" max="5633" width="20" style="262" customWidth="1"/>
    <col min="5634" max="5634" width="16.6640625" style="262" customWidth="1"/>
    <col min="5635" max="5635" width="11.5546875" style="262"/>
    <col min="5636" max="5636" width="18" style="262" customWidth="1"/>
    <col min="5637" max="5637" width="11.5546875" style="262"/>
    <col min="5638" max="5638" width="25.6640625" style="262" customWidth="1"/>
    <col min="5639" max="5886" width="11.5546875" style="262"/>
    <col min="5887" max="5887" width="22.88671875" style="262" customWidth="1"/>
    <col min="5888" max="5888" width="26.109375" style="262" customWidth="1"/>
    <col min="5889" max="5889" width="20" style="262" customWidth="1"/>
    <col min="5890" max="5890" width="16.6640625" style="262" customWidth="1"/>
    <col min="5891" max="5891" width="11.5546875" style="262"/>
    <col min="5892" max="5892" width="18" style="262" customWidth="1"/>
    <col min="5893" max="5893" width="11.5546875" style="262"/>
    <col min="5894" max="5894" width="25.6640625" style="262" customWidth="1"/>
    <col min="5895" max="6142" width="11.5546875" style="262"/>
    <col min="6143" max="6143" width="22.88671875" style="262" customWidth="1"/>
    <col min="6144" max="6144" width="26.109375" style="262" customWidth="1"/>
    <col min="6145" max="6145" width="20" style="262" customWidth="1"/>
    <col min="6146" max="6146" width="16.6640625" style="262" customWidth="1"/>
    <col min="6147" max="6147" width="11.5546875" style="262"/>
    <col min="6148" max="6148" width="18" style="262" customWidth="1"/>
    <col min="6149" max="6149" width="11.5546875" style="262"/>
    <col min="6150" max="6150" width="25.6640625" style="262" customWidth="1"/>
    <col min="6151" max="6398" width="11.5546875" style="262"/>
    <col min="6399" max="6399" width="22.88671875" style="262" customWidth="1"/>
    <col min="6400" max="6400" width="26.109375" style="262" customWidth="1"/>
    <col min="6401" max="6401" width="20" style="262" customWidth="1"/>
    <col min="6402" max="6402" width="16.6640625" style="262" customWidth="1"/>
    <col min="6403" max="6403" width="11.5546875" style="262"/>
    <col min="6404" max="6404" width="18" style="262" customWidth="1"/>
    <col min="6405" max="6405" width="11.5546875" style="262"/>
    <col min="6406" max="6406" width="25.6640625" style="262" customWidth="1"/>
    <col min="6407" max="6654" width="11.5546875" style="262"/>
    <col min="6655" max="6655" width="22.88671875" style="262" customWidth="1"/>
    <col min="6656" max="6656" width="26.109375" style="262" customWidth="1"/>
    <col min="6657" max="6657" width="20" style="262" customWidth="1"/>
    <col min="6658" max="6658" width="16.6640625" style="262" customWidth="1"/>
    <col min="6659" max="6659" width="11.5546875" style="262"/>
    <col min="6660" max="6660" width="18" style="262" customWidth="1"/>
    <col min="6661" max="6661" width="11.5546875" style="262"/>
    <col min="6662" max="6662" width="25.6640625" style="262" customWidth="1"/>
    <col min="6663" max="6910" width="11.5546875" style="262"/>
    <col min="6911" max="6911" width="22.88671875" style="262" customWidth="1"/>
    <col min="6912" max="6912" width="26.109375" style="262" customWidth="1"/>
    <col min="6913" max="6913" width="20" style="262" customWidth="1"/>
    <col min="6914" max="6914" width="16.6640625" style="262" customWidth="1"/>
    <col min="6915" max="6915" width="11.5546875" style="262"/>
    <col min="6916" max="6916" width="18" style="262" customWidth="1"/>
    <col min="6917" max="6917" width="11.5546875" style="262"/>
    <col min="6918" max="6918" width="25.6640625" style="262" customWidth="1"/>
    <col min="6919" max="7166" width="11.5546875" style="262"/>
    <col min="7167" max="7167" width="22.88671875" style="262" customWidth="1"/>
    <col min="7168" max="7168" width="26.109375" style="262" customWidth="1"/>
    <col min="7169" max="7169" width="20" style="262" customWidth="1"/>
    <col min="7170" max="7170" width="16.6640625" style="262" customWidth="1"/>
    <col min="7171" max="7171" width="11.5546875" style="262"/>
    <col min="7172" max="7172" width="18" style="262" customWidth="1"/>
    <col min="7173" max="7173" width="11.5546875" style="262"/>
    <col min="7174" max="7174" width="25.6640625" style="262" customWidth="1"/>
    <col min="7175" max="7422" width="11.5546875" style="262"/>
    <col min="7423" max="7423" width="22.88671875" style="262" customWidth="1"/>
    <col min="7424" max="7424" width="26.109375" style="262" customWidth="1"/>
    <col min="7425" max="7425" width="20" style="262" customWidth="1"/>
    <col min="7426" max="7426" width="16.6640625" style="262" customWidth="1"/>
    <col min="7427" max="7427" width="11.5546875" style="262"/>
    <col min="7428" max="7428" width="18" style="262" customWidth="1"/>
    <col min="7429" max="7429" width="11.5546875" style="262"/>
    <col min="7430" max="7430" width="25.6640625" style="262" customWidth="1"/>
    <col min="7431" max="7678" width="11.5546875" style="262"/>
    <col min="7679" max="7679" width="22.88671875" style="262" customWidth="1"/>
    <col min="7680" max="7680" width="26.109375" style="262" customWidth="1"/>
    <col min="7681" max="7681" width="20" style="262" customWidth="1"/>
    <col min="7682" max="7682" width="16.6640625" style="262" customWidth="1"/>
    <col min="7683" max="7683" width="11.5546875" style="262"/>
    <col min="7684" max="7684" width="18" style="262" customWidth="1"/>
    <col min="7685" max="7685" width="11.5546875" style="262"/>
    <col min="7686" max="7686" width="25.6640625" style="262" customWidth="1"/>
    <col min="7687" max="7934" width="11.5546875" style="262"/>
    <col min="7935" max="7935" width="22.88671875" style="262" customWidth="1"/>
    <col min="7936" max="7936" width="26.109375" style="262" customWidth="1"/>
    <col min="7937" max="7937" width="20" style="262" customWidth="1"/>
    <col min="7938" max="7938" width="16.6640625" style="262" customWidth="1"/>
    <col min="7939" max="7939" width="11.5546875" style="262"/>
    <col min="7940" max="7940" width="18" style="262" customWidth="1"/>
    <col min="7941" max="7941" width="11.5546875" style="262"/>
    <col min="7942" max="7942" width="25.6640625" style="262" customWidth="1"/>
    <col min="7943" max="8190" width="11.5546875" style="262"/>
    <col min="8191" max="8191" width="22.88671875" style="262" customWidth="1"/>
    <col min="8192" max="8192" width="26.109375" style="262" customWidth="1"/>
    <col min="8193" max="8193" width="20" style="262" customWidth="1"/>
    <col min="8194" max="8194" width="16.6640625" style="262" customWidth="1"/>
    <col min="8195" max="8195" width="11.5546875" style="262"/>
    <col min="8196" max="8196" width="18" style="262" customWidth="1"/>
    <col min="8197" max="8197" width="11.5546875" style="262"/>
    <col min="8198" max="8198" width="25.6640625" style="262" customWidth="1"/>
    <col min="8199" max="8446" width="11.5546875" style="262"/>
    <col min="8447" max="8447" width="22.88671875" style="262" customWidth="1"/>
    <col min="8448" max="8448" width="26.109375" style="262" customWidth="1"/>
    <col min="8449" max="8449" width="20" style="262" customWidth="1"/>
    <col min="8450" max="8450" width="16.6640625" style="262" customWidth="1"/>
    <col min="8451" max="8451" width="11.5546875" style="262"/>
    <col min="8452" max="8452" width="18" style="262" customWidth="1"/>
    <col min="8453" max="8453" width="11.5546875" style="262"/>
    <col min="8454" max="8454" width="25.6640625" style="262" customWidth="1"/>
    <col min="8455" max="8702" width="11.5546875" style="262"/>
    <col min="8703" max="8703" width="22.88671875" style="262" customWidth="1"/>
    <col min="8704" max="8704" width="26.109375" style="262" customWidth="1"/>
    <col min="8705" max="8705" width="20" style="262" customWidth="1"/>
    <col min="8706" max="8706" width="16.6640625" style="262" customWidth="1"/>
    <col min="8707" max="8707" width="11.5546875" style="262"/>
    <col min="8708" max="8708" width="18" style="262" customWidth="1"/>
    <col min="8709" max="8709" width="11.5546875" style="262"/>
    <col min="8710" max="8710" width="25.6640625" style="262" customWidth="1"/>
    <col min="8711" max="8958" width="11.5546875" style="262"/>
    <col min="8959" max="8959" width="22.88671875" style="262" customWidth="1"/>
    <col min="8960" max="8960" width="26.109375" style="262" customWidth="1"/>
    <col min="8961" max="8961" width="20" style="262" customWidth="1"/>
    <col min="8962" max="8962" width="16.6640625" style="262" customWidth="1"/>
    <col min="8963" max="8963" width="11.5546875" style="262"/>
    <col min="8964" max="8964" width="18" style="262" customWidth="1"/>
    <col min="8965" max="8965" width="11.5546875" style="262"/>
    <col min="8966" max="8966" width="25.6640625" style="262" customWidth="1"/>
    <col min="8967" max="9214" width="11.5546875" style="262"/>
    <col min="9215" max="9215" width="22.88671875" style="262" customWidth="1"/>
    <col min="9216" max="9216" width="26.109375" style="262" customWidth="1"/>
    <col min="9217" max="9217" width="20" style="262" customWidth="1"/>
    <col min="9218" max="9218" width="16.6640625" style="262" customWidth="1"/>
    <col min="9219" max="9219" width="11.5546875" style="262"/>
    <col min="9220" max="9220" width="18" style="262" customWidth="1"/>
    <col min="9221" max="9221" width="11.5546875" style="262"/>
    <col min="9222" max="9222" width="25.6640625" style="262" customWidth="1"/>
    <col min="9223" max="9470" width="11.5546875" style="262"/>
    <col min="9471" max="9471" width="22.88671875" style="262" customWidth="1"/>
    <col min="9472" max="9472" width="26.109375" style="262" customWidth="1"/>
    <col min="9473" max="9473" width="20" style="262" customWidth="1"/>
    <col min="9474" max="9474" width="16.6640625" style="262" customWidth="1"/>
    <col min="9475" max="9475" width="11.5546875" style="262"/>
    <col min="9476" max="9476" width="18" style="262" customWidth="1"/>
    <col min="9477" max="9477" width="11.5546875" style="262"/>
    <col min="9478" max="9478" width="25.6640625" style="262" customWidth="1"/>
    <col min="9479" max="9726" width="11.5546875" style="262"/>
    <col min="9727" max="9727" width="22.88671875" style="262" customWidth="1"/>
    <col min="9728" max="9728" width="26.109375" style="262" customWidth="1"/>
    <col min="9729" max="9729" width="20" style="262" customWidth="1"/>
    <col min="9730" max="9730" width="16.6640625" style="262" customWidth="1"/>
    <col min="9731" max="9731" width="11.5546875" style="262"/>
    <col min="9732" max="9732" width="18" style="262" customWidth="1"/>
    <col min="9733" max="9733" width="11.5546875" style="262"/>
    <col min="9734" max="9734" width="25.6640625" style="262" customWidth="1"/>
    <col min="9735" max="9982" width="11.5546875" style="262"/>
    <col min="9983" max="9983" width="22.88671875" style="262" customWidth="1"/>
    <col min="9984" max="9984" width="26.109375" style="262" customWidth="1"/>
    <col min="9985" max="9985" width="20" style="262" customWidth="1"/>
    <col min="9986" max="9986" width="16.6640625" style="262" customWidth="1"/>
    <col min="9987" max="9987" width="11.5546875" style="262"/>
    <col min="9988" max="9988" width="18" style="262" customWidth="1"/>
    <col min="9989" max="9989" width="11.5546875" style="262"/>
    <col min="9990" max="9990" width="25.6640625" style="262" customWidth="1"/>
    <col min="9991" max="10238" width="11.5546875" style="262"/>
    <col min="10239" max="10239" width="22.88671875" style="262" customWidth="1"/>
    <col min="10240" max="10240" width="26.109375" style="262" customWidth="1"/>
    <col min="10241" max="10241" width="20" style="262" customWidth="1"/>
    <col min="10242" max="10242" width="16.6640625" style="262" customWidth="1"/>
    <col min="10243" max="10243" width="11.5546875" style="262"/>
    <col min="10244" max="10244" width="18" style="262" customWidth="1"/>
    <col min="10245" max="10245" width="11.5546875" style="262"/>
    <col min="10246" max="10246" width="25.6640625" style="262" customWidth="1"/>
    <col min="10247" max="10494" width="11.5546875" style="262"/>
    <col min="10495" max="10495" width="22.88671875" style="262" customWidth="1"/>
    <col min="10496" max="10496" width="26.109375" style="262" customWidth="1"/>
    <col min="10497" max="10497" width="20" style="262" customWidth="1"/>
    <col min="10498" max="10498" width="16.6640625" style="262" customWidth="1"/>
    <col min="10499" max="10499" width="11.5546875" style="262"/>
    <col min="10500" max="10500" width="18" style="262" customWidth="1"/>
    <col min="10501" max="10501" width="11.5546875" style="262"/>
    <col min="10502" max="10502" width="25.6640625" style="262" customWidth="1"/>
    <col min="10503" max="10750" width="11.5546875" style="262"/>
    <col min="10751" max="10751" width="22.88671875" style="262" customWidth="1"/>
    <col min="10752" max="10752" width="26.109375" style="262" customWidth="1"/>
    <col min="10753" max="10753" width="20" style="262" customWidth="1"/>
    <col min="10754" max="10754" width="16.6640625" style="262" customWidth="1"/>
    <col min="10755" max="10755" width="11.5546875" style="262"/>
    <col min="10756" max="10756" width="18" style="262" customWidth="1"/>
    <col min="10757" max="10757" width="11.5546875" style="262"/>
    <col min="10758" max="10758" width="25.6640625" style="262" customWidth="1"/>
    <col min="10759" max="11006" width="11.5546875" style="262"/>
    <col min="11007" max="11007" width="22.88671875" style="262" customWidth="1"/>
    <col min="11008" max="11008" width="26.109375" style="262" customWidth="1"/>
    <col min="11009" max="11009" width="20" style="262" customWidth="1"/>
    <col min="11010" max="11010" width="16.6640625" style="262" customWidth="1"/>
    <col min="11011" max="11011" width="11.5546875" style="262"/>
    <col min="11012" max="11012" width="18" style="262" customWidth="1"/>
    <col min="11013" max="11013" width="11.5546875" style="262"/>
    <col min="11014" max="11014" width="25.6640625" style="262" customWidth="1"/>
    <col min="11015" max="11262" width="11.5546875" style="262"/>
    <col min="11263" max="11263" width="22.88671875" style="262" customWidth="1"/>
    <col min="11264" max="11264" width="26.109375" style="262" customWidth="1"/>
    <col min="11265" max="11265" width="20" style="262" customWidth="1"/>
    <col min="11266" max="11266" width="16.6640625" style="262" customWidth="1"/>
    <col min="11267" max="11267" width="11.5546875" style="262"/>
    <col min="11268" max="11268" width="18" style="262" customWidth="1"/>
    <col min="11269" max="11269" width="11.5546875" style="262"/>
    <col min="11270" max="11270" width="25.6640625" style="262" customWidth="1"/>
    <col min="11271" max="11518" width="11.5546875" style="262"/>
    <col min="11519" max="11519" width="22.88671875" style="262" customWidth="1"/>
    <col min="11520" max="11520" width="26.109375" style="262" customWidth="1"/>
    <col min="11521" max="11521" width="20" style="262" customWidth="1"/>
    <col min="11522" max="11522" width="16.6640625" style="262" customWidth="1"/>
    <col min="11523" max="11523" width="11.5546875" style="262"/>
    <col min="11524" max="11524" width="18" style="262" customWidth="1"/>
    <col min="11525" max="11525" width="11.5546875" style="262"/>
    <col min="11526" max="11526" width="25.6640625" style="262" customWidth="1"/>
    <col min="11527" max="11774" width="11.5546875" style="262"/>
    <col min="11775" max="11775" width="22.88671875" style="262" customWidth="1"/>
    <col min="11776" max="11776" width="26.109375" style="262" customWidth="1"/>
    <col min="11777" max="11777" width="20" style="262" customWidth="1"/>
    <col min="11778" max="11778" width="16.6640625" style="262" customWidth="1"/>
    <col min="11779" max="11779" width="11.5546875" style="262"/>
    <col min="11780" max="11780" width="18" style="262" customWidth="1"/>
    <col min="11781" max="11781" width="11.5546875" style="262"/>
    <col min="11782" max="11782" width="25.6640625" style="262" customWidth="1"/>
    <col min="11783" max="12030" width="11.5546875" style="262"/>
    <col min="12031" max="12031" width="22.88671875" style="262" customWidth="1"/>
    <col min="12032" max="12032" width="26.109375" style="262" customWidth="1"/>
    <col min="12033" max="12033" width="20" style="262" customWidth="1"/>
    <col min="12034" max="12034" width="16.6640625" style="262" customWidth="1"/>
    <col min="12035" max="12035" width="11.5546875" style="262"/>
    <col min="12036" max="12036" width="18" style="262" customWidth="1"/>
    <col min="12037" max="12037" width="11.5546875" style="262"/>
    <col min="12038" max="12038" width="25.6640625" style="262" customWidth="1"/>
    <col min="12039" max="12286" width="11.5546875" style="262"/>
    <col min="12287" max="12287" width="22.88671875" style="262" customWidth="1"/>
    <col min="12288" max="12288" width="26.109375" style="262" customWidth="1"/>
    <col min="12289" max="12289" width="20" style="262" customWidth="1"/>
    <col min="12290" max="12290" width="16.6640625" style="262" customWidth="1"/>
    <col min="12291" max="12291" width="11.5546875" style="262"/>
    <col min="12292" max="12292" width="18" style="262" customWidth="1"/>
    <col min="12293" max="12293" width="11.5546875" style="262"/>
    <col min="12294" max="12294" width="25.6640625" style="262" customWidth="1"/>
    <col min="12295" max="12542" width="11.5546875" style="262"/>
    <col min="12543" max="12543" width="22.88671875" style="262" customWidth="1"/>
    <col min="12544" max="12544" width="26.109375" style="262" customWidth="1"/>
    <col min="12545" max="12545" width="20" style="262" customWidth="1"/>
    <col min="12546" max="12546" width="16.6640625" style="262" customWidth="1"/>
    <col min="12547" max="12547" width="11.5546875" style="262"/>
    <col min="12548" max="12548" width="18" style="262" customWidth="1"/>
    <col min="12549" max="12549" width="11.5546875" style="262"/>
    <col min="12550" max="12550" width="25.6640625" style="262" customWidth="1"/>
    <col min="12551" max="12798" width="11.5546875" style="262"/>
    <col min="12799" max="12799" width="22.88671875" style="262" customWidth="1"/>
    <col min="12800" max="12800" width="26.109375" style="262" customWidth="1"/>
    <col min="12801" max="12801" width="20" style="262" customWidth="1"/>
    <col min="12802" max="12802" width="16.6640625" style="262" customWidth="1"/>
    <col min="12803" max="12803" width="11.5546875" style="262"/>
    <col min="12804" max="12804" width="18" style="262" customWidth="1"/>
    <col min="12805" max="12805" width="11.5546875" style="262"/>
    <col min="12806" max="12806" width="25.6640625" style="262" customWidth="1"/>
    <col min="12807" max="13054" width="11.5546875" style="262"/>
    <col min="13055" max="13055" width="22.88671875" style="262" customWidth="1"/>
    <col min="13056" max="13056" width="26.109375" style="262" customWidth="1"/>
    <col min="13057" max="13057" width="20" style="262" customWidth="1"/>
    <col min="13058" max="13058" width="16.6640625" style="262" customWidth="1"/>
    <col min="13059" max="13059" width="11.5546875" style="262"/>
    <col min="13060" max="13060" width="18" style="262" customWidth="1"/>
    <col min="13061" max="13061" width="11.5546875" style="262"/>
    <col min="13062" max="13062" width="25.6640625" style="262" customWidth="1"/>
    <col min="13063" max="13310" width="11.5546875" style="262"/>
    <col min="13311" max="13311" width="22.88671875" style="262" customWidth="1"/>
    <col min="13312" max="13312" width="26.109375" style="262" customWidth="1"/>
    <col min="13313" max="13313" width="20" style="262" customWidth="1"/>
    <col min="13314" max="13314" width="16.6640625" style="262" customWidth="1"/>
    <col min="13315" max="13315" width="11.5546875" style="262"/>
    <col min="13316" max="13316" width="18" style="262" customWidth="1"/>
    <col min="13317" max="13317" width="11.5546875" style="262"/>
    <col min="13318" max="13318" width="25.6640625" style="262" customWidth="1"/>
    <col min="13319" max="13566" width="11.5546875" style="262"/>
    <col min="13567" max="13567" width="22.88671875" style="262" customWidth="1"/>
    <col min="13568" max="13568" width="26.109375" style="262" customWidth="1"/>
    <col min="13569" max="13569" width="20" style="262" customWidth="1"/>
    <col min="13570" max="13570" width="16.6640625" style="262" customWidth="1"/>
    <col min="13571" max="13571" width="11.5546875" style="262"/>
    <col min="13572" max="13572" width="18" style="262" customWidth="1"/>
    <col min="13573" max="13573" width="11.5546875" style="262"/>
    <col min="13574" max="13574" width="25.6640625" style="262" customWidth="1"/>
    <col min="13575" max="13822" width="11.5546875" style="262"/>
    <col min="13823" max="13823" width="22.88671875" style="262" customWidth="1"/>
    <col min="13824" max="13824" width="26.109375" style="262" customWidth="1"/>
    <col min="13825" max="13825" width="20" style="262" customWidth="1"/>
    <col min="13826" max="13826" width="16.6640625" style="262" customWidth="1"/>
    <col min="13827" max="13827" width="11.5546875" style="262"/>
    <col min="13828" max="13828" width="18" style="262" customWidth="1"/>
    <col min="13829" max="13829" width="11.5546875" style="262"/>
    <col min="13830" max="13830" width="25.6640625" style="262" customWidth="1"/>
    <col min="13831" max="14078" width="11.5546875" style="262"/>
    <col min="14079" max="14079" width="22.88671875" style="262" customWidth="1"/>
    <col min="14080" max="14080" width="26.109375" style="262" customWidth="1"/>
    <col min="14081" max="14081" width="20" style="262" customWidth="1"/>
    <col min="14082" max="14082" width="16.6640625" style="262" customWidth="1"/>
    <col min="14083" max="14083" width="11.5546875" style="262"/>
    <col min="14084" max="14084" width="18" style="262" customWidth="1"/>
    <col min="14085" max="14085" width="11.5546875" style="262"/>
    <col min="14086" max="14086" width="25.6640625" style="262" customWidth="1"/>
    <col min="14087" max="14334" width="11.5546875" style="262"/>
    <col min="14335" max="14335" width="22.88671875" style="262" customWidth="1"/>
    <col min="14336" max="14336" width="26.109375" style="262" customWidth="1"/>
    <col min="14337" max="14337" width="20" style="262" customWidth="1"/>
    <col min="14338" max="14338" width="16.6640625" style="262" customWidth="1"/>
    <col min="14339" max="14339" width="11.5546875" style="262"/>
    <col min="14340" max="14340" width="18" style="262" customWidth="1"/>
    <col min="14341" max="14341" width="11.5546875" style="262"/>
    <col min="14342" max="14342" width="25.6640625" style="262" customWidth="1"/>
    <col min="14343" max="14590" width="11.5546875" style="262"/>
    <col min="14591" max="14591" width="22.88671875" style="262" customWidth="1"/>
    <col min="14592" max="14592" width="26.109375" style="262" customWidth="1"/>
    <col min="14593" max="14593" width="20" style="262" customWidth="1"/>
    <col min="14594" max="14594" width="16.6640625" style="262" customWidth="1"/>
    <col min="14595" max="14595" width="11.5546875" style="262"/>
    <col min="14596" max="14596" width="18" style="262" customWidth="1"/>
    <col min="14597" max="14597" width="11.5546875" style="262"/>
    <col min="14598" max="14598" width="25.6640625" style="262" customWidth="1"/>
    <col min="14599" max="14846" width="11.5546875" style="262"/>
    <col min="14847" max="14847" width="22.88671875" style="262" customWidth="1"/>
    <col min="14848" max="14848" width="26.109375" style="262" customWidth="1"/>
    <col min="14849" max="14849" width="20" style="262" customWidth="1"/>
    <col min="14850" max="14850" width="16.6640625" style="262" customWidth="1"/>
    <col min="14851" max="14851" width="11.5546875" style="262"/>
    <col min="14852" max="14852" width="18" style="262" customWidth="1"/>
    <col min="14853" max="14853" width="11.5546875" style="262"/>
    <col min="14854" max="14854" width="25.6640625" style="262" customWidth="1"/>
    <col min="14855" max="15102" width="11.5546875" style="262"/>
    <col min="15103" max="15103" width="22.88671875" style="262" customWidth="1"/>
    <col min="15104" max="15104" width="26.109375" style="262" customWidth="1"/>
    <col min="15105" max="15105" width="20" style="262" customWidth="1"/>
    <col min="15106" max="15106" width="16.6640625" style="262" customWidth="1"/>
    <col min="15107" max="15107" width="11.5546875" style="262"/>
    <col min="15108" max="15108" width="18" style="262" customWidth="1"/>
    <col min="15109" max="15109" width="11.5546875" style="262"/>
    <col min="15110" max="15110" width="25.6640625" style="262" customWidth="1"/>
    <col min="15111" max="15358" width="11.5546875" style="262"/>
    <col min="15359" max="15359" width="22.88671875" style="262" customWidth="1"/>
    <col min="15360" max="15360" width="26.109375" style="262" customWidth="1"/>
    <col min="15361" max="15361" width="20" style="262" customWidth="1"/>
    <col min="15362" max="15362" width="16.6640625" style="262" customWidth="1"/>
    <col min="15363" max="15363" width="11.5546875" style="262"/>
    <col min="15364" max="15364" width="18" style="262" customWidth="1"/>
    <col min="15365" max="15365" width="11.5546875" style="262"/>
    <col min="15366" max="15366" width="25.6640625" style="262" customWidth="1"/>
    <col min="15367" max="15614" width="11.5546875" style="262"/>
    <col min="15615" max="15615" width="22.88671875" style="262" customWidth="1"/>
    <col min="15616" max="15616" width="26.109375" style="262" customWidth="1"/>
    <col min="15617" max="15617" width="20" style="262" customWidth="1"/>
    <col min="15618" max="15618" width="16.6640625" style="262" customWidth="1"/>
    <col min="15619" max="15619" width="11.5546875" style="262"/>
    <col min="15620" max="15620" width="18" style="262" customWidth="1"/>
    <col min="15621" max="15621" width="11.5546875" style="262"/>
    <col min="15622" max="15622" width="25.6640625" style="262" customWidth="1"/>
    <col min="15623" max="15870" width="11.5546875" style="262"/>
    <col min="15871" max="15871" width="22.88671875" style="262" customWidth="1"/>
    <col min="15872" max="15872" width="26.109375" style="262" customWidth="1"/>
    <col min="15873" max="15873" width="20" style="262" customWidth="1"/>
    <col min="15874" max="15874" width="16.6640625" style="262" customWidth="1"/>
    <col min="15875" max="15875" width="11.5546875" style="262"/>
    <col min="15876" max="15876" width="18" style="262" customWidth="1"/>
    <col min="15877" max="15877" width="11.5546875" style="262"/>
    <col min="15878" max="15878" width="25.6640625" style="262" customWidth="1"/>
    <col min="15879" max="16126" width="11.5546875" style="262"/>
    <col min="16127" max="16127" width="22.88671875" style="262" customWidth="1"/>
    <col min="16128" max="16128" width="26.109375" style="262" customWidth="1"/>
    <col min="16129" max="16129" width="20" style="262" customWidth="1"/>
    <col min="16130" max="16130" width="16.6640625" style="262" customWidth="1"/>
    <col min="16131" max="16131" width="11.5546875" style="262"/>
    <col min="16132" max="16132" width="18" style="262" customWidth="1"/>
    <col min="16133" max="16133" width="11.5546875" style="262"/>
    <col min="16134" max="16134" width="25.6640625" style="262" customWidth="1"/>
    <col min="16135" max="16384" width="11.5546875" style="262"/>
  </cols>
  <sheetData>
    <row r="1" spans="1:6" ht="31.95" customHeight="1">
      <c r="A1" s="843" t="s">
        <v>434</v>
      </c>
      <c r="B1" s="843"/>
      <c r="C1" s="843"/>
      <c r="D1" s="843"/>
      <c r="E1" s="843"/>
      <c r="F1" s="843"/>
    </row>
    <row r="2" spans="1:6" s="261" customFormat="1" ht="50.4" customHeight="1">
      <c r="A2" s="844" t="s">
        <v>444</v>
      </c>
      <c r="B2" s="844"/>
      <c r="C2" s="844"/>
      <c r="D2" s="844"/>
      <c r="E2" s="844"/>
      <c r="F2" s="844"/>
    </row>
    <row r="3" spans="1:6" s="261" customFormat="1" ht="20.100000000000001" customHeight="1">
      <c r="A3" s="845" t="s">
        <v>433</v>
      </c>
      <c r="B3" s="845"/>
      <c r="C3" s="845"/>
      <c r="D3" s="845"/>
      <c r="E3" s="845"/>
      <c r="F3" s="845"/>
    </row>
    <row r="4" spans="1:6" ht="12.6" customHeight="1">
      <c r="A4" s="846"/>
      <c r="B4" s="846"/>
      <c r="C4" s="846"/>
      <c r="D4" s="846"/>
      <c r="E4" s="846"/>
      <c r="F4" s="846"/>
    </row>
    <row r="5" spans="1:6" ht="20.85" customHeight="1">
      <c r="A5" s="847" t="s">
        <v>406</v>
      </c>
      <c r="B5" s="847"/>
      <c r="C5" s="847"/>
      <c r="D5" s="847"/>
      <c r="E5" s="847"/>
      <c r="F5" s="847"/>
    </row>
    <row r="6" spans="1:6" ht="12.75" customHeight="1">
      <c r="A6" s="848"/>
      <c r="B6" s="848"/>
      <c r="C6" s="848"/>
      <c r="D6" s="848"/>
      <c r="E6" s="848"/>
      <c r="F6" s="848"/>
    </row>
    <row r="7" spans="1:6" s="263" customFormat="1" ht="19.350000000000001" customHeight="1">
      <c r="A7" s="256" t="s">
        <v>407</v>
      </c>
      <c r="B7" s="842"/>
      <c r="C7" s="842"/>
      <c r="D7" s="842"/>
      <c r="E7" s="842"/>
      <c r="F7" s="842"/>
    </row>
    <row r="8" spans="1:6" s="263" customFormat="1" ht="19.350000000000001" customHeight="1">
      <c r="A8" s="256" t="s">
        <v>408</v>
      </c>
      <c r="B8" s="264"/>
      <c r="C8" s="257" t="s">
        <v>409</v>
      </c>
      <c r="D8" s="265"/>
      <c r="E8" s="257" t="s">
        <v>409</v>
      </c>
      <c r="F8" s="800"/>
    </row>
    <row r="9" spans="1:6" s="263" customFormat="1" ht="19.350000000000001" customHeight="1">
      <c r="A9" s="256" t="s">
        <v>414</v>
      </c>
      <c r="B9" s="860"/>
      <c r="C9" s="861"/>
      <c r="D9" s="861"/>
      <c r="E9" s="861"/>
      <c r="F9" s="862"/>
    </row>
    <row r="10" spans="1:6" s="263" customFormat="1" ht="19.350000000000001" customHeight="1">
      <c r="A10" s="256" t="s">
        <v>410</v>
      </c>
      <c r="B10" s="842"/>
      <c r="C10" s="842"/>
      <c r="D10" s="842"/>
      <c r="E10" s="842"/>
      <c r="F10" s="842"/>
    </row>
    <row r="11" spans="1:6" s="263" customFormat="1" ht="19.350000000000001" customHeight="1">
      <c r="A11" s="256" t="s">
        <v>411</v>
      </c>
      <c r="B11" s="842"/>
      <c r="C11" s="842"/>
      <c r="D11" s="842"/>
      <c r="E11" s="257" t="s">
        <v>412</v>
      </c>
      <c r="F11" s="800"/>
    </row>
    <row r="12" spans="1:6" s="263" customFormat="1" ht="19.350000000000001" customHeight="1">
      <c r="A12" s="256" t="s">
        <v>413</v>
      </c>
      <c r="B12" s="863"/>
      <c r="C12" s="864"/>
      <c r="D12" s="864"/>
      <c r="E12" s="864"/>
      <c r="F12" s="865"/>
    </row>
    <row r="13" spans="1:6" ht="12.75" customHeight="1">
      <c r="F13" s="266"/>
    </row>
    <row r="14" spans="1:6" ht="20.100000000000001" customHeight="1">
      <c r="A14" s="847" t="s">
        <v>415</v>
      </c>
      <c r="B14" s="847"/>
      <c r="C14" s="847"/>
      <c r="D14" s="847"/>
      <c r="E14" s="847"/>
      <c r="F14" s="847"/>
    </row>
    <row r="16" spans="1:6" ht="23.1" customHeight="1">
      <c r="A16" s="258" t="s">
        <v>416</v>
      </c>
      <c r="B16" s="842"/>
      <c r="C16" s="842"/>
      <c r="D16" s="842"/>
      <c r="E16" s="842"/>
      <c r="F16" s="842"/>
    </row>
    <row r="17" spans="1:8" ht="23.1" customHeight="1">
      <c r="A17" s="258" t="s">
        <v>417</v>
      </c>
      <c r="B17" s="842"/>
      <c r="C17" s="842"/>
      <c r="D17" s="842"/>
      <c r="E17" s="842"/>
      <c r="F17" s="842"/>
    </row>
    <row r="18" spans="1:8" ht="23.1" customHeight="1">
      <c r="A18" s="258" t="s">
        <v>418</v>
      </c>
      <c r="B18" s="842"/>
      <c r="C18" s="842"/>
      <c r="D18" s="842"/>
      <c r="E18" s="842"/>
      <c r="F18" s="842"/>
    </row>
    <row r="20" spans="1:8" ht="22.35" customHeight="1">
      <c r="A20" s="852" t="s">
        <v>419</v>
      </c>
      <c r="B20" s="852"/>
      <c r="C20" s="852"/>
      <c r="D20" s="852"/>
      <c r="E20" s="852"/>
      <c r="F20" s="852"/>
    </row>
    <row r="22" spans="1:8" ht="22.35" customHeight="1">
      <c r="A22" s="258" t="s">
        <v>420</v>
      </c>
      <c r="B22" s="842"/>
      <c r="C22" s="842"/>
      <c r="D22" s="842"/>
      <c r="E22" s="842"/>
      <c r="F22" s="842"/>
    </row>
    <row r="23" spans="1:8" ht="20.85" customHeight="1">
      <c r="A23" s="258" t="s">
        <v>421</v>
      </c>
      <c r="B23" s="842"/>
      <c r="C23" s="842"/>
      <c r="D23" s="259" t="s">
        <v>422</v>
      </c>
      <c r="E23" s="842"/>
      <c r="F23" s="842"/>
    </row>
    <row r="24" spans="1:8" ht="24" customHeight="1">
      <c r="A24" s="849" t="s">
        <v>423</v>
      </c>
      <c r="B24" s="849"/>
      <c r="C24" s="842"/>
      <c r="D24" s="842"/>
      <c r="E24" s="842"/>
      <c r="F24" s="842"/>
    </row>
    <row r="25" spans="1:8" ht="12.75" customHeight="1">
      <c r="A25" s="266"/>
    </row>
    <row r="26" spans="1:8" ht="20.85" customHeight="1">
      <c r="A26" s="850" t="s">
        <v>424</v>
      </c>
      <c r="B26" s="850"/>
      <c r="C26" s="850"/>
      <c r="D26" s="850"/>
      <c r="E26" s="850"/>
      <c r="F26" s="850"/>
    </row>
    <row r="28" spans="1:8" s="263" customFormat="1" ht="48.75" customHeight="1">
      <c r="A28" s="267" t="s">
        <v>425</v>
      </c>
      <c r="B28" s="851" t="s">
        <v>435</v>
      </c>
      <c r="C28" s="851"/>
      <c r="D28" s="851"/>
      <c r="E28" s="851"/>
      <c r="F28" s="851"/>
      <c r="H28" s="260"/>
    </row>
    <row r="29" spans="1:8" ht="18.600000000000001" customHeight="1"/>
    <row r="30" spans="1:8" ht="29.85" customHeight="1">
      <c r="A30" s="874" t="s">
        <v>426</v>
      </c>
      <c r="B30" s="874"/>
      <c r="C30" s="268"/>
      <c r="D30" s="875" t="s">
        <v>427</v>
      </c>
      <c r="E30" s="875"/>
      <c r="F30" s="875"/>
    </row>
    <row r="31" spans="1:8" s="263" customFormat="1" ht="24.6" customHeight="1">
      <c r="A31" s="874" t="s">
        <v>428</v>
      </c>
      <c r="B31" s="874"/>
      <c r="C31" s="268"/>
      <c r="D31" s="874" t="s">
        <v>432</v>
      </c>
      <c r="E31" s="874" t="s">
        <v>429</v>
      </c>
      <c r="F31" s="874"/>
    </row>
    <row r="32" spans="1:8" s="263" customFormat="1" ht="13.95" customHeight="1">
      <c r="A32" s="269"/>
      <c r="B32" s="269"/>
      <c r="C32" s="270"/>
      <c r="D32" s="270"/>
      <c r="E32" s="271"/>
      <c r="F32" s="271"/>
    </row>
    <row r="33" spans="1:7" s="263" customFormat="1" ht="54.75" customHeight="1">
      <c r="A33" s="866" t="s">
        <v>438</v>
      </c>
      <c r="B33" s="866"/>
      <c r="C33" s="867">
        <f>'Proposta GLOBAL'!F12</f>
        <v>1802083.6</v>
      </c>
      <c r="D33" s="867"/>
      <c r="E33" s="867"/>
      <c r="F33" s="867"/>
    </row>
    <row r="34" spans="1:7" s="263" customFormat="1" ht="22.8" customHeight="1">
      <c r="A34" s="853" t="s">
        <v>664</v>
      </c>
      <c r="B34" s="854"/>
      <c r="C34" s="854"/>
      <c r="D34" s="854"/>
      <c r="E34" s="854"/>
      <c r="F34" s="855"/>
    </row>
    <row r="35" spans="1:7" s="263" customFormat="1" ht="47.25" customHeight="1">
      <c r="A35" s="868"/>
      <c r="B35" s="869"/>
      <c r="C35" s="869"/>
      <c r="D35" s="869"/>
      <c r="E35" s="869"/>
      <c r="F35" s="869"/>
      <c r="G35" s="801"/>
    </row>
    <row r="36" spans="1:7" s="263" customFormat="1" ht="14.85" customHeight="1">
      <c r="A36" s="269"/>
      <c r="B36" s="269"/>
      <c r="C36" s="270"/>
      <c r="D36" s="270"/>
      <c r="E36" s="271"/>
      <c r="F36" s="271"/>
    </row>
    <row r="37" spans="1:7" ht="65.400000000000006" customHeight="1">
      <c r="A37" s="870"/>
      <c r="B37" s="870"/>
      <c r="C37" s="870"/>
      <c r="D37" s="871">
        <f>B22</f>
        <v>0</v>
      </c>
      <c r="E37" s="872"/>
      <c r="F37" s="873"/>
    </row>
    <row r="38" spans="1:7" ht="24" customHeight="1">
      <c r="A38" s="856" t="s">
        <v>430</v>
      </c>
      <c r="B38" s="857"/>
      <c r="C38" s="858"/>
      <c r="D38" s="859" t="s">
        <v>431</v>
      </c>
      <c r="E38" s="859"/>
      <c r="F38" s="859"/>
    </row>
  </sheetData>
  <mergeCells count="35">
    <mergeCell ref="A34:F34"/>
    <mergeCell ref="A38:C38"/>
    <mergeCell ref="D38:F38"/>
    <mergeCell ref="B9:F9"/>
    <mergeCell ref="B12:F12"/>
    <mergeCell ref="A33:B33"/>
    <mergeCell ref="C33:F33"/>
    <mergeCell ref="A35:F35"/>
    <mergeCell ref="A37:C37"/>
    <mergeCell ref="D37:F37"/>
    <mergeCell ref="A30:B30"/>
    <mergeCell ref="D30:F30"/>
    <mergeCell ref="A31:B31"/>
    <mergeCell ref="D31:F31"/>
    <mergeCell ref="B23:C23"/>
    <mergeCell ref="E23:F23"/>
    <mergeCell ref="A24:B24"/>
    <mergeCell ref="C24:F24"/>
    <mergeCell ref="A26:F26"/>
    <mergeCell ref="B28:F28"/>
    <mergeCell ref="A14:F14"/>
    <mergeCell ref="B16:F16"/>
    <mergeCell ref="B17:F17"/>
    <mergeCell ref="B18:F18"/>
    <mergeCell ref="A20:F20"/>
    <mergeCell ref="B22:F22"/>
    <mergeCell ref="B10:F10"/>
    <mergeCell ref="B11:D11"/>
    <mergeCell ref="A1:F1"/>
    <mergeCell ref="A2:F2"/>
    <mergeCell ref="A3:F3"/>
    <mergeCell ref="A4:F4"/>
    <mergeCell ref="A5:F5"/>
    <mergeCell ref="A6:F6"/>
    <mergeCell ref="B7:F7"/>
  </mergeCells>
  <printOptions horizontalCentered="1" verticalCentered="1"/>
  <pageMargins left="0.25" right="0.25" top="0.75" bottom="0.75" header="0.3" footer="0.3"/>
  <pageSetup paperSize="9" firstPageNumber="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66FF66"/>
    <pageSetUpPr fitToPage="1"/>
  </sheetPr>
  <dimension ref="A1:HN133"/>
  <sheetViews>
    <sheetView showGridLines="0" zoomScale="110" zoomScaleNormal="110" workbookViewId="0">
      <pane ySplit="1" topLeftCell="A89" activePane="bottomLeft" state="frozen"/>
      <selection pane="bottomLeft" activeCell="A101" sqref="A101:XFD101"/>
    </sheetView>
  </sheetViews>
  <sheetFormatPr defaultColWidth="8.88671875" defaultRowHeight="13.8"/>
  <cols>
    <col min="1" max="1" width="5.5546875" style="184" customWidth="1"/>
    <col min="2" max="3" width="8.88671875" style="184"/>
    <col min="4" max="4" width="10.6640625" style="184" customWidth="1"/>
    <col min="5" max="5" width="8.88671875" style="184"/>
    <col min="6" max="6" width="11.5546875" style="184" customWidth="1"/>
    <col min="7" max="7" width="20.88671875" style="184" customWidth="1"/>
    <col min="8" max="8" width="12.6640625" style="201" customWidth="1"/>
    <col min="9" max="9" width="14.109375" style="202" customWidth="1"/>
    <col min="10" max="16" width="8.88671875" style="184"/>
    <col min="17" max="17" width="11.6640625" style="184" customWidth="1"/>
    <col min="18" max="221" width="8.88671875" style="184"/>
    <col min="222" max="16384" width="8.88671875" style="185"/>
  </cols>
  <sheetData>
    <row r="1" spans="1:9" ht="33.6" customHeight="1">
      <c r="A1" s="1074" t="s">
        <v>602</v>
      </c>
      <c r="B1" s="1074"/>
      <c r="C1" s="1074"/>
      <c r="D1" s="1074"/>
      <c r="E1" s="1074"/>
      <c r="F1" s="1074"/>
      <c r="G1" s="1074"/>
      <c r="H1" s="1097"/>
      <c r="I1" s="751" t="s">
        <v>607</v>
      </c>
    </row>
    <row r="2" spans="1:9" s="184" customFormat="1" ht="20.100000000000001" customHeight="1">
      <c r="A2" s="966" t="s">
        <v>37</v>
      </c>
      <c r="B2" s="967"/>
      <c r="C2" s="967"/>
      <c r="D2" s="967"/>
      <c r="E2" s="967"/>
      <c r="F2" s="967"/>
      <c r="G2" s="967"/>
      <c r="H2" s="967"/>
      <c r="I2" s="968"/>
    </row>
    <row r="3" spans="1:9" s="184" customFormat="1" ht="20.100000000000001" customHeight="1">
      <c r="A3" s="226" t="s">
        <v>38</v>
      </c>
      <c r="B3" s="969" t="s">
        <v>39</v>
      </c>
      <c r="C3" s="970"/>
      <c r="D3" s="970"/>
      <c r="E3" s="970"/>
      <c r="F3" s="970"/>
      <c r="G3" s="970"/>
      <c r="H3" s="971"/>
      <c r="I3" s="411"/>
    </row>
    <row r="4" spans="1:9" s="184" customFormat="1" ht="20.100000000000001" customHeight="1">
      <c r="A4" s="226" t="s">
        <v>40</v>
      </c>
      <c r="B4" s="969" t="s">
        <v>41</v>
      </c>
      <c r="C4" s="970"/>
      <c r="D4" s="970"/>
      <c r="E4" s="970"/>
      <c r="F4" s="970"/>
      <c r="G4" s="970"/>
      <c r="H4" s="971"/>
      <c r="I4" s="412" t="s">
        <v>361</v>
      </c>
    </row>
    <row r="5" spans="1:9" s="184" customFormat="1" ht="20.100000000000001" customHeight="1">
      <c r="A5" s="226" t="s">
        <v>42</v>
      </c>
      <c r="B5" s="969" t="s">
        <v>43</v>
      </c>
      <c r="C5" s="970"/>
      <c r="D5" s="970"/>
      <c r="E5" s="970"/>
      <c r="F5" s="970"/>
      <c r="G5" s="970"/>
      <c r="H5" s="971"/>
      <c r="I5" s="412"/>
    </row>
    <row r="6" spans="1:9" s="184" customFormat="1" ht="20.100000000000001" customHeight="1">
      <c r="A6" s="226" t="s">
        <v>44</v>
      </c>
      <c r="B6" s="969" t="s">
        <v>45</v>
      </c>
      <c r="C6" s="970"/>
      <c r="D6" s="970"/>
      <c r="E6" s="970"/>
      <c r="F6" s="970"/>
      <c r="G6" s="970"/>
      <c r="H6" s="971"/>
      <c r="I6" s="412">
        <v>20</v>
      </c>
    </row>
    <row r="7" spans="1:9" s="184" customFormat="1" ht="20.100000000000001" customHeight="1">
      <c r="A7" s="972" t="s">
        <v>46</v>
      </c>
      <c r="B7" s="972"/>
      <c r="C7" s="972"/>
      <c r="D7" s="972"/>
      <c r="E7" s="972"/>
      <c r="F7" s="972"/>
      <c r="G7" s="972"/>
      <c r="H7" s="972"/>
      <c r="I7" s="973"/>
    </row>
    <row r="8" spans="1:9" s="184" customFormat="1" ht="48" customHeight="1">
      <c r="A8" s="958" t="s">
        <v>47</v>
      </c>
      <c r="B8" s="958"/>
      <c r="C8" s="958"/>
      <c r="D8" s="958"/>
      <c r="E8" s="958"/>
      <c r="F8" s="958"/>
      <c r="G8" s="958" t="s">
        <v>48</v>
      </c>
      <c r="H8" s="1010"/>
      <c r="I8" s="459" t="s">
        <v>384</v>
      </c>
    </row>
    <row r="9" spans="1:9" s="184" customFormat="1" ht="20.100000000000001" customHeight="1">
      <c r="A9" s="955" t="s">
        <v>359</v>
      </c>
      <c r="B9" s="955"/>
      <c r="C9" s="955"/>
      <c r="D9" s="955"/>
      <c r="E9" s="955"/>
      <c r="F9" s="955"/>
      <c r="G9" s="955" t="s">
        <v>314</v>
      </c>
      <c r="H9" s="1055"/>
      <c r="I9" s="450">
        <v>1</v>
      </c>
    </row>
    <row r="10" spans="1:9" s="184" customFormat="1" ht="20.100000000000001" customHeight="1">
      <c r="A10" s="228" t="s">
        <v>51</v>
      </c>
      <c r="B10" s="228"/>
      <c r="C10" s="228"/>
      <c r="D10" s="228"/>
      <c r="E10" s="228"/>
      <c r="F10" s="228"/>
      <c r="G10" s="228"/>
      <c r="H10" s="458"/>
      <c r="I10" s="460"/>
    </row>
    <row r="11" spans="1:9" s="184" customFormat="1" ht="23.4" customHeight="1">
      <c r="A11" s="226">
        <v>1</v>
      </c>
      <c r="B11" s="969" t="s">
        <v>52</v>
      </c>
      <c r="C11" s="970"/>
      <c r="D11" s="970"/>
      <c r="E11" s="970"/>
      <c r="F11" s="970"/>
      <c r="G11" s="970"/>
      <c r="H11" s="971"/>
      <c r="I11" s="467" t="str">
        <f>$A$9</f>
        <v>Lavagens de veículos</v>
      </c>
    </row>
    <row r="12" spans="1:9" s="184" customFormat="1" ht="20.100000000000001" customHeight="1">
      <c r="A12" s="226">
        <v>2</v>
      </c>
      <c r="B12" s="969" t="s">
        <v>293</v>
      </c>
      <c r="C12" s="970"/>
      <c r="D12" s="970"/>
      <c r="E12" s="970"/>
      <c r="F12" s="970"/>
      <c r="G12" s="970"/>
      <c r="H12" s="971"/>
      <c r="I12" s="451" t="s">
        <v>294</v>
      </c>
    </row>
    <row r="13" spans="1:9" s="184" customFormat="1" ht="20.100000000000001" customHeight="1">
      <c r="A13" s="226">
        <v>3</v>
      </c>
      <c r="B13" s="969" t="s">
        <v>53</v>
      </c>
      <c r="C13" s="970"/>
      <c r="D13" s="970"/>
      <c r="E13" s="970"/>
      <c r="F13" s="970"/>
      <c r="G13" s="970"/>
      <c r="H13" s="971"/>
      <c r="I13" s="451">
        <v>1213.18</v>
      </c>
    </row>
    <row r="14" spans="1:9" s="184" customFormat="1" ht="20.100000000000001" customHeight="1">
      <c r="A14" s="226">
        <v>4</v>
      </c>
      <c r="B14" s="969" t="s">
        <v>54</v>
      </c>
      <c r="C14" s="970"/>
      <c r="D14" s="970"/>
      <c r="E14" s="970"/>
      <c r="F14" s="970"/>
      <c r="G14" s="970"/>
      <c r="H14" s="971"/>
      <c r="I14" s="452" t="s">
        <v>36</v>
      </c>
    </row>
    <row r="15" spans="1:9" s="184" customFormat="1" ht="20.100000000000001" customHeight="1">
      <c r="A15" s="226">
        <v>5</v>
      </c>
      <c r="B15" s="969" t="s">
        <v>55</v>
      </c>
      <c r="C15" s="970"/>
      <c r="D15" s="970"/>
      <c r="E15" s="970"/>
      <c r="F15" s="970"/>
      <c r="G15" s="970"/>
      <c r="H15" s="971"/>
      <c r="I15" s="411">
        <v>43101</v>
      </c>
    </row>
    <row r="16" spans="1:9" s="184" customFormat="1" ht="20.100000000000001" customHeight="1">
      <c r="A16" s="226">
        <v>6</v>
      </c>
      <c r="B16" s="969" t="s">
        <v>56</v>
      </c>
      <c r="C16" s="970"/>
      <c r="D16" s="970"/>
      <c r="E16" s="970"/>
      <c r="F16" s="970"/>
      <c r="G16" s="970"/>
      <c r="H16" s="971"/>
      <c r="I16" s="451">
        <v>954</v>
      </c>
    </row>
    <row r="17" spans="1:9" s="184" customFormat="1" ht="20.100000000000001" customHeight="1">
      <c r="A17" s="226">
        <v>7</v>
      </c>
      <c r="B17" s="969" t="s">
        <v>330</v>
      </c>
      <c r="C17" s="970"/>
      <c r="D17" s="970"/>
      <c r="E17" s="970"/>
      <c r="F17" s="970"/>
      <c r="G17" s="970"/>
      <c r="H17" s="971"/>
      <c r="I17" s="450">
        <v>21</v>
      </c>
    </row>
    <row r="18" spans="1:9" s="222" customFormat="1" ht="20.100000000000001" customHeight="1">
      <c r="A18" s="219"/>
      <c r="B18" s="220"/>
      <c r="C18" s="220"/>
      <c r="D18" s="220"/>
      <c r="E18" s="220"/>
      <c r="F18" s="220"/>
      <c r="G18" s="220"/>
      <c r="H18" s="221"/>
      <c r="I18" s="415"/>
    </row>
    <row r="19" spans="1:9" s="184" customFormat="1" ht="31.2" customHeight="1">
      <c r="A19" s="1035" t="s">
        <v>334</v>
      </c>
      <c r="B19" s="1035"/>
      <c r="C19" s="1035"/>
      <c r="D19" s="1035"/>
      <c r="E19" s="1035"/>
      <c r="F19" s="1035"/>
      <c r="G19" s="1035"/>
      <c r="H19" s="1090"/>
      <c r="I19" s="413" t="s">
        <v>396</v>
      </c>
    </row>
    <row r="20" spans="1:9" s="184" customFormat="1" ht="20.100000000000001" customHeight="1">
      <c r="A20" s="1067" t="s">
        <v>57</v>
      </c>
      <c r="B20" s="1068"/>
      <c r="C20" s="1068"/>
      <c r="D20" s="1068"/>
      <c r="E20" s="1068"/>
      <c r="F20" s="1068"/>
      <c r="G20" s="1068"/>
      <c r="H20" s="1068"/>
      <c r="I20" s="1091"/>
    </row>
    <row r="21" spans="1:9" s="184" customFormat="1" ht="20.100000000000001" customHeight="1">
      <c r="A21" s="250">
        <v>1</v>
      </c>
      <c r="B21" s="985" t="s">
        <v>58</v>
      </c>
      <c r="C21" s="985"/>
      <c r="D21" s="985"/>
      <c r="E21" s="985"/>
      <c r="F21" s="985"/>
      <c r="G21" s="985"/>
      <c r="H21" s="416" t="s">
        <v>59</v>
      </c>
      <c r="I21" s="418" t="s">
        <v>60</v>
      </c>
    </row>
    <row r="22" spans="1:9" s="184" customFormat="1" ht="19.2" customHeight="1">
      <c r="A22" s="226" t="s">
        <v>38</v>
      </c>
      <c r="B22" s="1011" t="s">
        <v>332</v>
      </c>
      <c r="C22" s="1011"/>
      <c r="D22" s="1011"/>
      <c r="E22" s="1011"/>
      <c r="F22" s="1011"/>
      <c r="G22" s="1011"/>
      <c r="H22" s="1012"/>
      <c r="I22" s="419">
        <f t="shared" ref="I22" si="0">I13</f>
        <v>1213.18</v>
      </c>
    </row>
    <row r="23" spans="1:9" s="184" customFormat="1" ht="20.399999999999999" customHeight="1">
      <c r="A23" s="226" t="s">
        <v>40</v>
      </c>
      <c r="B23" s="1028" t="s">
        <v>292</v>
      </c>
      <c r="C23" s="1028"/>
      <c r="D23" s="1028"/>
      <c r="E23" s="1028"/>
      <c r="F23" s="1028"/>
      <c r="G23" s="1028"/>
      <c r="H23" s="417">
        <v>0.3</v>
      </c>
      <c r="I23" s="419">
        <f>ROUND(I22*H23,2)</f>
        <v>363.95</v>
      </c>
    </row>
    <row r="24" spans="1:9" s="184" customFormat="1" ht="20.100000000000001" customHeight="1">
      <c r="A24" s="226" t="s">
        <v>44</v>
      </c>
      <c r="B24" s="988" t="s">
        <v>62</v>
      </c>
      <c r="C24" s="988"/>
      <c r="D24" s="988"/>
      <c r="E24" s="988"/>
      <c r="F24" s="988"/>
      <c r="G24" s="988"/>
      <c r="H24" s="989"/>
      <c r="I24" s="419"/>
    </row>
    <row r="25" spans="1:9" s="184" customFormat="1" ht="20.100000000000001" customHeight="1">
      <c r="A25" s="1001" t="s">
        <v>63</v>
      </c>
      <c r="B25" s="1001"/>
      <c r="C25" s="1001"/>
      <c r="D25" s="1001"/>
      <c r="E25" s="1001"/>
      <c r="F25" s="1001"/>
      <c r="G25" s="1001"/>
      <c r="H25" s="1007"/>
      <c r="I25" s="420">
        <f t="shared" ref="I25" si="1">TRUNC(SUM(I22:I24),2)</f>
        <v>1577.13</v>
      </c>
    </row>
    <row r="26" spans="1:9" s="184" customFormat="1" ht="20.100000000000001" customHeight="1">
      <c r="A26" s="1067" t="s">
        <v>291</v>
      </c>
      <c r="B26" s="1068"/>
      <c r="C26" s="1068"/>
      <c r="D26" s="1068"/>
      <c r="E26" s="1068"/>
      <c r="F26" s="1068"/>
      <c r="G26" s="1068"/>
      <c r="H26" s="1068"/>
      <c r="I26" s="1070"/>
    </row>
    <row r="27" spans="1:9" s="184" customFormat="1" ht="20.100000000000001" customHeight="1">
      <c r="A27" s="1067" t="s">
        <v>624</v>
      </c>
      <c r="B27" s="1068"/>
      <c r="C27" s="1068"/>
      <c r="D27" s="1068"/>
      <c r="E27" s="1068"/>
      <c r="F27" s="1068"/>
      <c r="G27" s="1068"/>
      <c r="H27" s="1068"/>
      <c r="I27" s="1093"/>
    </row>
    <row r="28" spans="1:9" s="184" customFormat="1" ht="25.2" customHeight="1">
      <c r="A28" s="250" t="s">
        <v>8</v>
      </c>
      <c r="B28" s="1025" t="s">
        <v>626</v>
      </c>
      <c r="C28" s="1025"/>
      <c r="D28" s="1025"/>
      <c r="E28" s="1025"/>
      <c r="F28" s="1025"/>
      <c r="G28" s="1025"/>
      <c r="H28" s="461" t="s">
        <v>59</v>
      </c>
      <c r="I28" s="418" t="s">
        <v>60</v>
      </c>
    </row>
    <row r="29" spans="1:9" s="184" customFormat="1" ht="21" customHeight="1">
      <c r="A29" s="226" t="s">
        <v>38</v>
      </c>
      <c r="B29" s="1011" t="s">
        <v>331</v>
      </c>
      <c r="C29" s="1011"/>
      <c r="D29" s="1011"/>
      <c r="E29" s="1011"/>
      <c r="F29" s="1011"/>
      <c r="G29" s="1011"/>
      <c r="H29" s="408">
        <v>8.3330000000000001E-2</v>
      </c>
      <c r="I29" s="406">
        <f>ROUND($I$25*H29,2)</f>
        <v>131.41999999999999</v>
      </c>
    </row>
    <row r="30" spans="1:9" s="184" customFormat="1" ht="18" customHeight="1">
      <c r="A30" s="226" t="s">
        <v>40</v>
      </c>
      <c r="B30" s="988" t="s">
        <v>625</v>
      </c>
      <c r="C30" s="988"/>
      <c r="D30" s="988"/>
      <c r="E30" s="988"/>
      <c r="F30" s="988"/>
      <c r="G30" s="988"/>
      <c r="H30" s="795">
        <f>(5/56/3)</f>
        <v>2.9761904761904764E-2</v>
      </c>
      <c r="I30" s="406">
        <f>ROUND(H30*I25,2)</f>
        <v>46.94</v>
      </c>
    </row>
    <row r="31" spans="1:9" ht="20.100000000000001" customHeight="1">
      <c r="A31" s="1001" t="s">
        <v>85</v>
      </c>
      <c r="B31" s="1001"/>
      <c r="C31" s="1001"/>
      <c r="D31" s="1001"/>
      <c r="E31" s="1001"/>
      <c r="F31" s="1001"/>
      <c r="G31" s="1001"/>
      <c r="H31" s="398">
        <f t="shared" ref="H31" si="2">H29+H30</f>
        <v>0.11309190476190477</v>
      </c>
      <c r="I31" s="407">
        <f t="shared" ref="I31" si="3">TRUNC(I29+I30,2)</f>
        <v>178.36</v>
      </c>
    </row>
    <row r="32" spans="1:9" ht="20.100000000000001" customHeight="1">
      <c r="A32" s="226" t="s">
        <v>42</v>
      </c>
      <c r="B32" s="1011" t="s">
        <v>290</v>
      </c>
      <c r="C32" s="1011"/>
      <c r="D32" s="1011"/>
      <c r="E32" s="1011"/>
      <c r="F32" s="1011"/>
      <c r="G32" s="1011"/>
      <c r="H32" s="409">
        <f>H31*H44</f>
        <v>3.8225063809523813E-2</v>
      </c>
      <c r="I32" s="407">
        <f>ROUND(I31*H44,2)</f>
        <v>60.29</v>
      </c>
    </row>
    <row r="33" spans="1:221" ht="20.100000000000001" customHeight="1">
      <c r="A33" s="1001" t="s">
        <v>84</v>
      </c>
      <c r="B33" s="1001"/>
      <c r="C33" s="1001"/>
      <c r="D33" s="1001"/>
      <c r="E33" s="1001"/>
      <c r="F33" s="1001"/>
      <c r="G33" s="1001"/>
      <c r="H33" s="410">
        <f>H31+H32</f>
        <v>0.15131696857142857</v>
      </c>
      <c r="I33" s="407">
        <f t="shared" ref="I33" si="4">TRUNC(I31+I32,2)</f>
        <v>238.65</v>
      </c>
    </row>
    <row r="34" spans="1:221" ht="25.2" customHeight="1">
      <c r="A34" s="1081" t="s">
        <v>382</v>
      </c>
      <c r="B34" s="1082"/>
      <c r="C34" s="1082"/>
      <c r="D34" s="1082"/>
      <c r="E34" s="1082"/>
      <c r="F34" s="1082"/>
      <c r="G34" s="1082"/>
      <c r="H34" s="1082"/>
      <c r="I34" s="1092"/>
    </row>
    <row r="35" spans="1:221" ht="19.95" customHeight="1">
      <c r="A35" s="251" t="s">
        <v>282</v>
      </c>
      <c r="B35" s="1060" t="s">
        <v>288</v>
      </c>
      <c r="C35" s="1060"/>
      <c r="D35" s="1060"/>
      <c r="E35" s="1060"/>
      <c r="F35" s="1060"/>
      <c r="G35" s="1060"/>
      <c r="H35" s="462" t="s">
        <v>59</v>
      </c>
      <c r="I35" s="418" t="s">
        <v>60</v>
      </c>
    </row>
    <row r="36" spans="1:221" ht="20.100000000000001" customHeight="1">
      <c r="A36" s="226" t="s">
        <v>38</v>
      </c>
      <c r="B36" s="988" t="s">
        <v>78</v>
      </c>
      <c r="C36" s="988"/>
      <c r="D36" s="988"/>
      <c r="E36" s="988"/>
      <c r="F36" s="988"/>
      <c r="G36" s="988"/>
      <c r="H36" s="396">
        <v>0.2</v>
      </c>
      <c r="I36" s="406">
        <f t="shared" ref="I36:I43" si="5">ROUND($I$25*H36,2)</f>
        <v>315.43</v>
      </c>
    </row>
    <row r="37" spans="1:221" ht="20.100000000000001" customHeight="1">
      <c r="A37" s="226" t="s">
        <v>40</v>
      </c>
      <c r="B37" s="988" t="s">
        <v>80</v>
      </c>
      <c r="C37" s="988"/>
      <c r="D37" s="988"/>
      <c r="E37" s="988"/>
      <c r="F37" s="988"/>
      <c r="G37" s="988"/>
      <c r="H37" s="396">
        <v>2.5000000000000001E-2</v>
      </c>
      <c r="I37" s="406">
        <f t="shared" si="5"/>
        <v>39.43</v>
      </c>
    </row>
    <row r="38" spans="1:221" ht="22.2" customHeight="1">
      <c r="A38" s="226" t="s">
        <v>42</v>
      </c>
      <c r="B38" s="988" t="s">
        <v>323</v>
      </c>
      <c r="C38" s="988"/>
      <c r="D38" s="988"/>
      <c r="E38" s="988"/>
      <c r="F38" s="988"/>
      <c r="G38" s="988"/>
      <c r="H38" s="397">
        <v>0</v>
      </c>
      <c r="I38" s="406">
        <f t="shared" si="5"/>
        <v>0</v>
      </c>
    </row>
    <row r="39" spans="1:221" ht="21.75" customHeight="1">
      <c r="A39" s="226" t="s">
        <v>44</v>
      </c>
      <c r="B39" s="988" t="s">
        <v>287</v>
      </c>
      <c r="C39" s="988"/>
      <c r="D39" s="988"/>
      <c r="E39" s="988"/>
      <c r="F39" s="988"/>
      <c r="G39" s="988"/>
      <c r="H39" s="396">
        <v>1.4999999999999999E-2</v>
      </c>
      <c r="I39" s="406">
        <f t="shared" si="5"/>
        <v>23.66</v>
      </c>
    </row>
    <row r="40" spans="1:221" ht="20.100000000000001" customHeight="1">
      <c r="A40" s="226" t="s">
        <v>27</v>
      </c>
      <c r="B40" s="988" t="s">
        <v>286</v>
      </c>
      <c r="C40" s="988"/>
      <c r="D40" s="988"/>
      <c r="E40" s="988"/>
      <c r="F40" s="988"/>
      <c r="G40" s="988"/>
      <c r="H40" s="396">
        <v>0.01</v>
      </c>
      <c r="I40" s="406">
        <f t="shared" si="5"/>
        <v>15.77</v>
      </c>
    </row>
    <row r="41" spans="1:221" ht="20.100000000000001" customHeight="1">
      <c r="A41" s="226" t="s">
        <v>67</v>
      </c>
      <c r="B41" s="988" t="s">
        <v>83</v>
      </c>
      <c r="C41" s="988"/>
      <c r="D41" s="988"/>
      <c r="E41" s="988"/>
      <c r="F41" s="988"/>
      <c r="G41" s="988"/>
      <c r="H41" s="396">
        <v>6.0000000000000001E-3</v>
      </c>
      <c r="I41" s="406">
        <f t="shared" si="5"/>
        <v>9.4600000000000009</v>
      </c>
    </row>
    <row r="42" spans="1:221" ht="20.100000000000001" customHeight="1">
      <c r="A42" s="226" t="s">
        <v>82</v>
      </c>
      <c r="B42" s="988" t="s">
        <v>79</v>
      </c>
      <c r="C42" s="988"/>
      <c r="D42" s="988"/>
      <c r="E42" s="988"/>
      <c r="F42" s="988"/>
      <c r="G42" s="988"/>
      <c r="H42" s="396">
        <v>2E-3</v>
      </c>
      <c r="I42" s="406">
        <f t="shared" si="5"/>
        <v>3.15</v>
      </c>
    </row>
    <row r="43" spans="1:221" ht="20.100000000000001" customHeight="1">
      <c r="A43" s="226" t="s">
        <v>61</v>
      </c>
      <c r="B43" s="988" t="s">
        <v>81</v>
      </c>
      <c r="C43" s="988"/>
      <c r="D43" s="988"/>
      <c r="E43" s="988"/>
      <c r="F43" s="988"/>
      <c r="G43" s="988"/>
      <c r="H43" s="396">
        <v>0.08</v>
      </c>
      <c r="I43" s="406">
        <f t="shared" si="5"/>
        <v>126.17</v>
      </c>
    </row>
    <row r="44" spans="1:221" ht="20.100000000000001" customHeight="1">
      <c r="A44" s="1001" t="s">
        <v>84</v>
      </c>
      <c r="B44" s="1001"/>
      <c r="C44" s="1001"/>
      <c r="D44" s="1001"/>
      <c r="E44" s="1001"/>
      <c r="F44" s="1001"/>
      <c r="G44" s="1001"/>
      <c r="H44" s="398">
        <f t="shared" ref="H44:I44" si="6">SUM(H36:H43)</f>
        <v>0.33800000000000002</v>
      </c>
      <c r="I44" s="407">
        <f t="shared" si="6"/>
        <v>533.06999999999994</v>
      </c>
    </row>
    <row r="45" spans="1:221" s="187" customFormat="1" ht="20.100000000000001" customHeight="1">
      <c r="A45" s="1084" t="s">
        <v>381</v>
      </c>
      <c r="B45" s="1085"/>
      <c r="C45" s="1085"/>
      <c r="D45" s="1085"/>
      <c r="E45" s="1085"/>
      <c r="F45" s="1085"/>
      <c r="G45" s="1085"/>
      <c r="H45" s="1085"/>
      <c r="I45" s="10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  <c r="AY45" s="186"/>
      <c r="AZ45" s="186"/>
      <c r="BA45" s="186"/>
      <c r="BB45" s="186"/>
      <c r="BC45" s="186"/>
      <c r="BD45" s="186"/>
      <c r="BE45" s="186"/>
      <c r="BF45" s="186"/>
      <c r="BG45" s="186"/>
      <c r="BH45" s="186"/>
      <c r="BI45" s="186"/>
      <c r="BJ45" s="186"/>
      <c r="BK45" s="186"/>
      <c r="BL45" s="186"/>
      <c r="BM45" s="186"/>
      <c r="BN45" s="186"/>
      <c r="BO45" s="186"/>
      <c r="BP45" s="186"/>
      <c r="BQ45" s="186"/>
      <c r="BR45" s="186"/>
      <c r="BS45" s="186"/>
      <c r="BT45" s="186"/>
      <c r="BU45" s="186"/>
      <c r="BV45" s="186"/>
      <c r="BW45" s="186"/>
      <c r="BX45" s="186"/>
      <c r="BY45" s="186"/>
      <c r="BZ45" s="186"/>
      <c r="CA45" s="186"/>
      <c r="CB45" s="186"/>
      <c r="CC45" s="186"/>
      <c r="CD45" s="186"/>
      <c r="CE45" s="186"/>
      <c r="CF45" s="186"/>
      <c r="CG45" s="186"/>
      <c r="CH45" s="186"/>
      <c r="CI45" s="186"/>
      <c r="CJ45" s="186"/>
      <c r="CK45" s="186"/>
      <c r="CL45" s="186"/>
      <c r="CM45" s="186"/>
      <c r="CN45" s="186"/>
      <c r="CO45" s="186"/>
      <c r="CP45" s="186"/>
      <c r="CQ45" s="186"/>
      <c r="CR45" s="186"/>
      <c r="CS45" s="186"/>
      <c r="CT45" s="186"/>
      <c r="CU45" s="186"/>
      <c r="CV45" s="186"/>
      <c r="CW45" s="186"/>
      <c r="CX45" s="186"/>
      <c r="CY45" s="186"/>
      <c r="CZ45" s="186"/>
      <c r="DA45" s="186"/>
      <c r="DB45" s="186"/>
      <c r="DC45" s="186"/>
      <c r="DD45" s="186"/>
      <c r="DE45" s="186"/>
      <c r="DF45" s="186"/>
      <c r="DG45" s="186"/>
      <c r="DH45" s="186"/>
      <c r="DI45" s="186"/>
      <c r="DJ45" s="186"/>
      <c r="DK45" s="186"/>
      <c r="DL45" s="186"/>
      <c r="DM45" s="186"/>
      <c r="DN45" s="186"/>
      <c r="DO45" s="186"/>
      <c r="DP45" s="186"/>
      <c r="DQ45" s="186"/>
      <c r="DR45" s="186"/>
      <c r="DS45" s="186"/>
      <c r="DT45" s="186"/>
      <c r="DU45" s="186"/>
      <c r="DV45" s="186"/>
      <c r="DW45" s="186"/>
      <c r="DX45" s="186"/>
      <c r="DY45" s="186"/>
      <c r="DZ45" s="186"/>
      <c r="EA45" s="186"/>
      <c r="EB45" s="186"/>
      <c r="EC45" s="186"/>
      <c r="ED45" s="186"/>
      <c r="EE45" s="186"/>
      <c r="EF45" s="186"/>
      <c r="EG45" s="186"/>
      <c r="EH45" s="186"/>
      <c r="EI45" s="186"/>
      <c r="EJ45" s="186"/>
      <c r="EK45" s="186"/>
      <c r="EL45" s="186"/>
      <c r="EM45" s="186"/>
      <c r="EN45" s="186"/>
      <c r="EO45" s="186"/>
      <c r="EP45" s="186"/>
      <c r="EQ45" s="186"/>
      <c r="ER45" s="186"/>
      <c r="ES45" s="186"/>
      <c r="ET45" s="186"/>
      <c r="EU45" s="186"/>
      <c r="EV45" s="186"/>
      <c r="EW45" s="186"/>
      <c r="EX45" s="186"/>
      <c r="EY45" s="186"/>
      <c r="EZ45" s="186"/>
      <c r="FA45" s="186"/>
      <c r="FB45" s="186"/>
      <c r="FC45" s="186"/>
      <c r="FD45" s="186"/>
      <c r="FE45" s="186"/>
      <c r="FF45" s="186"/>
      <c r="FG45" s="186"/>
      <c r="FH45" s="186"/>
      <c r="FI45" s="186"/>
      <c r="FJ45" s="186"/>
      <c r="FK45" s="186"/>
      <c r="FL45" s="186"/>
      <c r="FM45" s="186"/>
      <c r="FN45" s="186"/>
      <c r="FO45" s="186"/>
      <c r="FP45" s="186"/>
      <c r="FQ45" s="186"/>
      <c r="FR45" s="186"/>
      <c r="FS45" s="186"/>
      <c r="FT45" s="186"/>
      <c r="FU45" s="186"/>
      <c r="FV45" s="186"/>
      <c r="FW45" s="186"/>
      <c r="FX45" s="186"/>
      <c r="FY45" s="186"/>
      <c r="FZ45" s="186"/>
      <c r="GA45" s="186"/>
      <c r="GB45" s="186"/>
      <c r="GC45" s="186"/>
      <c r="GD45" s="186"/>
      <c r="GE45" s="186"/>
      <c r="GF45" s="186"/>
      <c r="GG45" s="186"/>
      <c r="GH45" s="186"/>
      <c r="GI45" s="186"/>
      <c r="GJ45" s="186"/>
      <c r="GK45" s="186"/>
      <c r="GL45" s="186"/>
      <c r="GM45" s="186"/>
      <c r="GN45" s="186"/>
      <c r="GO45" s="186"/>
      <c r="GP45" s="186"/>
      <c r="GQ45" s="186"/>
      <c r="GR45" s="186"/>
      <c r="GS45" s="186"/>
      <c r="GT45" s="186"/>
      <c r="GU45" s="186"/>
      <c r="GV45" s="186"/>
      <c r="GW45" s="186"/>
      <c r="GX45" s="186"/>
      <c r="GY45" s="186"/>
      <c r="GZ45" s="186"/>
      <c r="HA45" s="186"/>
      <c r="HB45" s="186"/>
      <c r="HC45" s="186"/>
      <c r="HD45" s="186"/>
      <c r="HE45" s="186"/>
      <c r="HF45" s="186"/>
      <c r="HG45" s="186"/>
      <c r="HH45" s="186"/>
      <c r="HI45" s="186"/>
      <c r="HJ45" s="186"/>
      <c r="HK45" s="186"/>
      <c r="HL45" s="186"/>
      <c r="HM45" s="186"/>
    </row>
    <row r="46" spans="1:221" ht="20.100000000000001" customHeight="1">
      <c r="A46" s="250" t="s">
        <v>280</v>
      </c>
      <c r="B46" s="985" t="s">
        <v>64</v>
      </c>
      <c r="C46" s="985"/>
      <c r="D46" s="985"/>
      <c r="E46" s="985"/>
      <c r="F46" s="985"/>
      <c r="G46" s="985"/>
      <c r="H46" s="985"/>
      <c r="I46" s="404" t="s">
        <v>60</v>
      </c>
    </row>
    <row r="47" spans="1:221" s="227" customFormat="1" ht="25.5" customHeight="1">
      <c r="A47" s="226" t="s">
        <v>38</v>
      </c>
      <c r="B47" s="1075" t="s">
        <v>458</v>
      </c>
      <c r="C47" s="1076"/>
      <c r="D47" s="1076"/>
      <c r="E47" s="1077"/>
      <c r="F47" s="390">
        <v>21</v>
      </c>
      <c r="G47" s="390">
        <v>2</v>
      </c>
      <c r="H47" s="402">
        <v>3</v>
      </c>
      <c r="I47" s="406">
        <f>ROUND((G47*H47*F47)-(6%*I22),2)</f>
        <v>53.21</v>
      </c>
      <c r="J47" s="1015"/>
      <c r="K47" s="1015"/>
      <c r="L47" s="1015"/>
      <c r="M47" s="1015"/>
      <c r="N47" s="1015"/>
      <c r="U47" s="1015"/>
      <c r="V47" s="1015"/>
      <c r="W47" s="1015"/>
      <c r="X47" s="1015"/>
      <c r="Y47" s="1015"/>
      <c r="Z47" s="1015"/>
      <c r="AA47" s="1015"/>
      <c r="AB47" s="1015"/>
      <c r="AC47" s="1015"/>
      <c r="AD47" s="1015"/>
      <c r="AE47" s="1015"/>
      <c r="AF47" s="1015"/>
      <c r="AG47" s="1015"/>
      <c r="AH47" s="1015"/>
      <c r="AI47" s="1015"/>
      <c r="AJ47" s="1015"/>
      <c r="AK47" s="1015"/>
      <c r="AL47" s="1015"/>
      <c r="AM47" s="1015"/>
      <c r="AN47" s="1015"/>
      <c r="AO47" s="1015"/>
      <c r="AP47" s="1015"/>
      <c r="AQ47" s="1015"/>
      <c r="AR47" s="1015"/>
      <c r="AS47" s="1015"/>
      <c r="AT47" s="1015"/>
      <c r="AU47" s="1015"/>
      <c r="AV47" s="1015"/>
      <c r="AW47" s="1015"/>
      <c r="AX47" s="1015"/>
      <c r="AY47" s="1015"/>
      <c r="AZ47" s="1015"/>
      <c r="BA47" s="1015"/>
      <c r="BB47" s="1015"/>
      <c r="BC47" s="1015"/>
      <c r="BD47" s="1015"/>
      <c r="BE47" s="1015"/>
      <c r="BF47" s="1015"/>
      <c r="BG47" s="1015"/>
      <c r="BH47" s="1015"/>
      <c r="BI47" s="1015"/>
      <c r="BJ47" s="1015"/>
      <c r="BK47" s="1015"/>
      <c r="BL47" s="1015"/>
      <c r="BM47" s="1015"/>
      <c r="BN47" s="1015"/>
      <c r="BO47" s="1015"/>
      <c r="BP47" s="1015"/>
      <c r="BQ47" s="1015"/>
      <c r="BR47" s="1015"/>
      <c r="BS47" s="1015"/>
      <c r="BT47" s="1015"/>
      <c r="BU47" s="1015"/>
      <c r="BV47" s="1015"/>
      <c r="BW47" s="1015"/>
      <c r="BX47" s="1015"/>
      <c r="BY47" s="1015"/>
      <c r="BZ47" s="1015"/>
      <c r="CA47" s="1015"/>
      <c r="CB47" s="1015"/>
      <c r="CC47" s="1015"/>
      <c r="CD47" s="1015"/>
      <c r="CE47" s="1015"/>
      <c r="CF47" s="1015"/>
      <c r="CG47" s="1015"/>
      <c r="CH47" s="1015"/>
      <c r="CI47" s="1015"/>
      <c r="CJ47" s="1015"/>
      <c r="CK47" s="1015"/>
      <c r="CL47" s="1015"/>
      <c r="CM47" s="1015"/>
      <c r="CN47" s="1015"/>
      <c r="CO47" s="1015"/>
      <c r="CP47" s="1015"/>
      <c r="CQ47" s="1015"/>
      <c r="CR47" s="1015"/>
      <c r="CS47" s="1015"/>
      <c r="CT47" s="1015"/>
      <c r="CU47" s="1015"/>
      <c r="CV47" s="1015"/>
      <c r="CW47" s="1015"/>
      <c r="CX47" s="1015"/>
      <c r="CY47" s="1015"/>
      <c r="CZ47" s="1015"/>
      <c r="DA47" s="1015"/>
      <c r="DB47" s="1015"/>
      <c r="DC47" s="1015"/>
      <c r="DD47" s="1015"/>
      <c r="DE47" s="1015"/>
      <c r="DF47" s="1015"/>
      <c r="DG47" s="1015"/>
      <c r="DH47" s="1015"/>
      <c r="DI47" s="1015"/>
      <c r="DJ47" s="1015"/>
      <c r="DK47" s="1015"/>
      <c r="DL47" s="1015"/>
      <c r="DM47" s="1015"/>
      <c r="DN47" s="1015"/>
      <c r="DO47" s="1015"/>
      <c r="DP47" s="1015"/>
      <c r="DQ47" s="1015"/>
      <c r="DR47" s="1015"/>
      <c r="DS47" s="1015"/>
      <c r="DT47" s="1015"/>
      <c r="DU47" s="1015"/>
      <c r="DV47" s="1015"/>
      <c r="DW47" s="1015"/>
      <c r="DX47" s="1015"/>
      <c r="DY47" s="1015"/>
      <c r="DZ47" s="1015"/>
      <c r="EA47" s="1015"/>
      <c r="EB47" s="1015"/>
      <c r="EC47" s="1015"/>
      <c r="ED47" s="1015"/>
      <c r="EE47" s="1015"/>
      <c r="EF47" s="1015"/>
      <c r="EG47" s="1015"/>
      <c r="EH47" s="1015"/>
      <c r="EI47" s="1015"/>
      <c r="EJ47" s="1015"/>
      <c r="EK47" s="1015"/>
      <c r="EL47" s="1015"/>
      <c r="EM47" s="1015"/>
      <c r="EN47" s="1015"/>
      <c r="EO47" s="1015"/>
      <c r="EP47" s="1015"/>
      <c r="EQ47" s="1015"/>
      <c r="ER47" s="1015"/>
      <c r="ES47" s="1015"/>
      <c r="ET47" s="1015"/>
      <c r="EU47" s="1015"/>
      <c r="EV47" s="1015"/>
      <c r="EW47" s="1015"/>
      <c r="EX47" s="1015"/>
      <c r="EY47" s="1015"/>
      <c r="EZ47" s="1015"/>
      <c r="FA47" s="1015"/>
      <c r="FB47" s="1015"/>
      <c r="FC47" s="1015"/>
      <c r="FD47" s="1015"/>
      <c r="FE47" s="1015"/>
      <c r="FF47" s="1015"/>
      <c r="FG47" s="1015"/>
      <c r="FH47" s="1015"/>
      <c r="FI47" s="1015"/>
      <c r="FJ47" s="1015"/>
      <c r="FK47" s="1015"/>
      <c r="FL47" s="1015"/>
      <c r="FM47" s="1015"/>
      <c r="FN47" s="1015"/>
      <c r="FO47" s="1015"/>
      <c r="FP47" s="1015"/>
      <c r="FQ47" s="1015"/>
      <c r="FR47" s="1015"/>
      <c r="FS47" s="1015"/>
      <c r="FT47" s="1015"/>
      <c r="FU47" s="1015"/>
      <c r="FV47" s="1015"/>
      <c r="FW47" s="1015"/>
      <c r="FX47" s="1015"/>
      <c r="FY47" s="1015"/>
      <c r="FZ47" s="1015"/>
      <c r="GA47" s="1015"/>
      <c r="GB47" s="1015"/>
      <c r="GC47" s="1015"/>
      <c r="GD47" s="1015"/>
      <c r="GE47" s="1015"/>
      <c r="GF47" s="1015"/>
      <c r="GG47" s="1015"/>
      <c r="GH47" s="1015"/>
      <c r="GI47" s="1015"/>
      <c r="GJ47" s="1015"/>
      <c r="GK47" s="1015"/>
      <c r="GL47" s="1015"/>
      <c r="GM47" s="1015"/>
      <c r="GN47" s="1015"/>
      <c r="GO47" s="1015"/>
      <c r="GP47" s="1015"/>
      <c r="GQ47" s="1015"/>
      <c r="GR47" s="1015"/>
      <c r="GS47" s="1015"/>
      <c r="GT47" s="1015"/>
      <c r="GU47" s="1015"/>
      <c r="GV47" s="1015"/>
      <c r="GW47" s="1015"/>
      <c r="GX47" s="1015"/>
      <c r="GY47" s="1015"/>
      <c r="GZ47" s="1015"/>
      <c r="HA47" s="1015"/>
      <c r="HB47" s="1015"/>
      <c r="HC47" s="1015"/>
      <c r="HD47" s="1015"/>
    </row>
    <row r="48" spans="1:221" s="184" customFormat="1" ht="23.25" customHeight="1">
      <c r="A48" s="226" t="s">
        <v>40</v>
      </c>
      <c r="B48" s="1016" t="s">
        <v>459</v>
      </c>
      <c r="C48" s="1017"/>
      <c r="D48" s="1017"/>
      <c r="E48" s="1017"/>
      <c r="F48" s="1018"/>
      <c r="G48" s="391">
        <v>360</v>
      </c>
      <c r="H48" s="402">
        <f>G48*0.99%</f>
        <v>3.5639999999999996</v>
      </c>
      <c r="I48" s="406">
        <f>ROUND(G48-H48,2)</f>
        <v>356.44</v>
      </c>
    </row>
    <row r="49" spans="1:9" s="184" customFormat="1" ht="20.399999999999999" customHeight="1">
      <c r="A49" s="226" t="s">
        <v>42</v>
      </c>
      <c r="B49" s="988" t="s">
        <v>65</v>
      </c>
      <c r="C49" s="988"/>
      <c r="D49" s="988"/>
      <c r="E49" s="988"/>
      <c r="F49" s="988"/>
      <c r="G49" s="988"/>
      <c r="H49" s="989"/>
      <c r="I49" s="406"/>
    </row>
    <row r="50" spans="1:9" s="184" customFormat="1" ht="21" customHeight="1">
      <c r="A50" s="226" t="s">
        <v>44</v>
      </c>
      <c r="B50" s="988" t="s">
        <v>66</v>
      </c>
      <c r="C50" s="988"/>
      <c r="D50" s="988"/>
      <c r="E50" s="988"/>
      <c r="F50" s="988"/>
      <c r="G50" s="988"/>
      <c r="H50" s="989"/>
      <c r="I50" s="406"/>
    </row>
    <row r="51" spans="1:9" s="184" customFormat="1" ht="20.100000000000001" customHeight="1">
      <c r="A51" s="226" t="s">
        <v>27</v>
      </c>
      <c r="B51" s="988" t="s">
        <v>324</v>
      </c>
      <c r="C51" s="988"/>
      <c r="D51" s="988"/>
      <c r="E51" s="988"/>
      <c r="F51" s="988"/>
      <c r="G51" s="988"/>
      <c r="H51" s="989"/>
      <c r="I51" s="406"/>
    </row>
    <row r="52" spans="1:9" s="184" customFormat="1" ht="20.100000000000001" customHeight="1">
      <c r="A52" s="226" t="s">
        <v>67</v>
      </c>
      <c r="B52" s="988" t="s">
        <v>62</v>
      </c>
      <c r="C52" s="988"/>
      <c r="D52" s="988"/>
      <c r="E52" s="988"/>
      <c r="F52" s="988"/>
      <c r="G52" s="988"/>
      <c r="H52" s="989"/>
      <c r="I52" s="406"/>
    </row>
    <row r="53" spans="1:9" s="191" customFormat="1" ht="20.100000000000001" customHeight="1">
      <c r="A53" s="190"/>
      <c r="B53" s="1001" t="s">
        <v>68</v>
      </c>
      <c r="C53" s="1001"/>
      <c r="D53" s="1001"/>
      <c r="E53" s="1001"/>
      <c r="F53" s="1001"/>
      <c r="G53" s="1001"/>
      <c r="H53" s="1007"/>
      <c r="I53" s="407">
        <f t="shared" ref="I53" si="7">TRUNC(SUM(I47:I52),2)</f>
        <v>409.65</v>
      </c>
    </row>
    <row r="54" spans="1:9" s="184" customFormat="1" ht="20.100000000000001" customHeight="1">
      <c r="A54" s="1072"/>
      <c r="B54" s="1072"/>
      <c r="C54" s="1072"/>
      <c r="D54" s="1072"/>
      <c r="E54" s="1072"/>
      <c r="F54" s="1072"/>
      <c r="G54" s="1072"/>
      <c r="H54" s="1072"/>
      <c r="I54" s="1073"/>
    </row>
    <row r="55" spans="1:9" s="184" customFormat="1" ht="30" customHeight="1">
      <c r="A55" s="1050" t="s">
        <v>69</v>
      </c>
      <c r="B55" s="1050"/>
      <c r="C55" s="1050"/>
      <c r="D55" s="1050"/>
      <c r="E55" s="1050"/>
      <c r="F55" s="1050"/>
      <c r="G55" s="1050"/>
      <c r="H55" s="1050"/>
      <c r="I55" s="1050"/>
    </row>
    <row r="56" spans="1:9" s="184" customFormat="1" ht="20.100000000000001" customHeight="1">
      <c r="A56" s="1087" t="s">
        <v>285</v>
      </c>
      <c r="B56" s="1088"/>
      <c r="C56" s="1088"/>
      <c r="D56" s="1088"/>
      <c r="E56" s="1088"/>
      <c r="F56" s="1088"/>
      <c r="G56" s="1088"/>
      <c r="H56" s="1088"/>
      <c r="I56" s="1094"/>
    </row>
    <row r="57" spans="1:9" s="184" customFormat="1" ht="20.100000000000001" customHeight="1">
      <c r="A57" s="253">
        <v>2</v>
      </c>
      <c r="B57" s="1019" t="s">
        <v>284</v>
      </c>
      <c r="C57" s="1019"/>
      <c r="D57" s="1019"/>
      <c r="E57" s="1019"/>
      <c r="F57" s="1019"/>
      <c r="G57" s="1019"/>
      <c r="H57" s="457" t="s">
        <v>59</v>
      </c>
      <c r="I57" s="463" t="s">
        <v>60</v>
      </c>
    </row>
    <row r="58" spans="1:9" s="184" customFormat="1" ht="20.100000000000001" customHeight="1">
      <c r="A58" s="217" t="s">
        <v>8</v>
      </c>
      <c r="B58" s="1020" t="s">
        <v>283</v>
      </c>
      <c r="C58" s="1020"/>
      <c r="D58" s="1020"/>
      <c r="E58" s="1020"/>
      <c r="F58" s="1020"/>
      <c r="G58" s="1020"/>
      <c r="H58" s="434">
        <f>H31</f>
        <v>0.11309190476190477</v>
      </c>
      <c r="I58" s="442">
        <f t="shared" ref="I58" si="8">I33</f>
        <v>238.65</v>
      </c>
    </row>
    <row r="59" spans="1:9" s="184" customFormat="1" ht="20.100000000000001" customHeight="1">
      <c r="A59" s="217" t="s">
        <v>282</v>
      </c>
      <c r="B59" s="1020" t="s">
        <v>281</v>
      </c>
      <c r="C59" s="1020"/>
      <c r="D59" s="1020"/>
      <c r="E59" s="1020"/>
      <c r="F59" s="1020"/>
      <c r="G59" s="1020"/>
      <c r="H59" s="434">
        <f t="shared" ref="H59:I59" si="9">H44</f>
        <v>0.33800000000000002</v>
      </c>
      <c r="I59" s="442">
        <f t="shared" si="9"/>
        <v>533.06999999999994</v>
      </c>
    </row>
    <row r="60" spans="1:9" s="184" customFormat="1" ht="20.100000000000001" customHeight="1">
      <c r="A60" s="217" t="s">
        <v>280</v>
      </c>
      <c r="B60" s="1020" t="s">
        <v>279</v>
      </c>
      <c r="C60" s="1020"/>
      <c r="D60" s="1020"/>
      <c r="E60" s="1020"/>
      <c r="F60" s="1020"/>
      <c r="G60" s="1020"/>
      <c r="H60" s="440" t="s">
        <v>89</v>
      </c>
      <c r="I60" s="442">
        <f t="shared" ref="I60" si="10">I53</f>
        <v>409.65</v>
      </c>
    </row>
    <row r="61" spans="1:9" s="184" customFormat="1" ht="20.100000000000001" customHeight="1">
      <c r="A61" s="1021" t="s">
        <v>84</v>
      </c>
      <c r="B61" s="1021"/>
      <c r="C61" s="1021"/>
      <c r="D61" s="1021"/>
      <c r="E61" s="1021"/>
      <c r="F61" s="1021"/>
      <c r="G61" s="1021"/>
      <c r="H61" s="434">
        <f>H58+H59</f>
        <v>0.45109190476190481</v>
      </c>
      <c r="I61" s="442">
        <f t="shared" ref="I61" si="11">SUM(I58:I60)</f>
        <v>1181.3699999999999</v>
      </c>
    </row>
    <row r="62" spans="1:9" s="184" customFormat="1" ht="21" customHeight="1">
      <c r="A62" s="1067" t="s">
        <v>278</v>
      </c>
      <c r="B62" s="1068"/>
      <c r="C62" s="1068"/>
      <c r="D62" s="1068"/>
      <c r="E62" s="1068"/>
      <c r="F62" s="1068"/>
      <c r="G62" s="1068"/>
      <c r="H62" s="1068"/>
      <c r="I62" s="1095"/>
    </row>
    <row r="63" spans="1:9" s="184" customFormat="1" ht="20.100000000000001" customHeight="1">
      <c r="A63" s="250">
        <v>3</v>
      </c>
      <c r="B63" s="985" t="s">
        <v>86</v>
      </c>
      <c r="C63" s="985"/>
      <c r="D63" s="985"/>
      <c r="E63" s="985"/>
      <c r="F63" s="985"/>
      <c r="G63" s="985"/>
      <c r="H63" s="1096"/>
      <c r="I63" s="418" t="s">
        <v>60</v>
      </c>
    </row>
    <row r="64" spans="1:9" s="184" customFormat="1" ht="20.100000000000001" customHeight="1">
      <c r="A64" s="226" t="s">
        <v>38</v>
      </c>
      <c r="B64" s="988" t="s">
        <v>661</v>
      </c>
      <c r="C64" s="988"/>
      <c r="D64" s="988"/>
      <c r="E64" s="988"/>
      <c r="F64" s="988"/>
      <c r="G64" s="988"/>
      <c r="H64" s="409">
        <v>0</v>
      </c>
      <c r="I64" s="406">
        <f>ROUND($I$25*H64,2)</f>
        <v>0</v>
      </c>
    </row>
    <row r="65" spans="1:9" s="184" customFormat="1" ht="20.100000000000001" customHeight="1">
      <c r="A65" s="226" t="s">
        <v>40</v>
      </c>
      <c r="B65" s="988" t="s">
        <v>87</v>
      </c>
      <c r="C65" s="988"/>
      <c r="D65" s="988"/>
      <c r="E65" s="988"/>
      <c r="F65" s="988"/>
      <c r="G65" s="988"/>
      <c r="H65" s="434">
        <f>H43*H64</f>
        <v>0</v>
      </c>
      <c r="I65" s="406">
        <f t="shared" ref="I65" si="12">ROUND($H$43*I64,2)</f>
        <v>0</v>
      </c>
    </row>
    <row r="66" spans="1:9" s="184" customFormat="1" ht="21.6" customHeight="1">
      <c r="A66" s="226" t="s">
        <v>42</v>
      </c>
      <c r="B66" s="1011" t="s">
        <v>373</v>
      </c>
      <c r="C66" s="1011"/>
      <c r="D66" s="1011"/>
      <c r="E66" s="1011"/>
      <c r="F66" s="1011"/>
      <c r="G66" s="1011"/>
      <c r="H66" s="435">
        <f>((8%*50%)*90%)*((1+5/56+5/56+5/168))</f>
        <v>4.3499999999999997E-2</v>
      </c>
      <c r="I66" s="406">
        <f>ROUND($I$25*H66,2)</f>
        <v>68.61</v>
      </c>
    </row>
    <row r="67" spans="1:9" s="184" customFormat="1" ht="21.6" customHeight="1">
      <c r="A67" s="226" t="s">
        <v>44</v>
      </c>
      <c r="B67" s="1011" t="s">
        <v>333</v>
      </c>
      <c r="C67" s="1011"/>
      <c r="D67" s="1011"/>
      <c r="E67" s="1011"/>
      <c r="F67" s="1011"/>
      <c r="G67" s="1011"/>
      <c r="H67" s="435">
        <v>1.9400000000000001E-2</v>
      </c>
      <c r="I67" s="406">
        <f>ROUND($I$25*H67,2)</f>
        <v>30.6</v>
      </c>
    </row>
    <row r="68" spans="1:9" s="184" customFormat="1" ht="19.2" customHeight="1">
      <c r="A68" s="226" t="s">
        <v>27</v>
      </c>
      <c r="B68" s="1011" t="s">
        <v>277</v>
      </c>
      <c r="C68" s="1011"/>
      <c r="D68" s="1011"/>
      <c r="E68" s="1011"/>
      <c r="F68" s="1011"/>
      <c r="G68" s="1011"/>
      <c r="H68" s="434">
        <f>H44*H67</f>
        <v>6.5572000000000009E-3</v>
      </c>
      <c r="I68" s="406">
        <f>ROUND($H$44*I67,2)</f>
        <v>10.34</v>
      </c>
    </row>
    <row r="69" spans="1:9" s="184" customFormat="1" ht="28.2" customHeight="1">
      <c r="A69" s="226" t="s">
        <v>67</v>
      </c>
      <c r="B69" s="1011" t="s">
        <v>375</v>
      </c>
      <c r="C69" s="1011"/>
      <c r="D69" s="1011"/>
      <c r="E69" s="1011"/>
      <c r="F69" s="1011"/>
      <c r="G69" s="1011"/>
      <c r="H69" s="435">
        <f>((1*50%*8%*H67)+0.572%)</f>
        <v>6.4959999999999992E-3</v>
      </c>
      <c r="I69" s="406">
        <f>ROUND($I$25*H69,2)</f>
        <v>10.25</v>
      </c>
    </row>
    <row r="70" spans="1:9" s="184" customFormat="1" ht="22.2" customHeight="1">
      <c r="A70" s="1001" t="s">
        <v>84</v>
      </c>
      <c r="B70" s="1001"/>
      <c r="C70" s="1001"/>
      <c r="D70" s="1001"/>
      <c r="E70" s="1001"/>
      <c r="F70" s="1001"/>
      <c r="G70" s="1001"/>
      <c r="H70" s="398">
        <f t="shared" ref="H70:I70" si="13">SUM(H64:H69)</f>
        <v>7.5953199999999998E-2</v>
      </c>
      <c r="I70" s="407">
        <f t="shared" si="13"/>
        <v>119.80000000000001</v>
      </c>
    </row>
    <row r="71" spans="1:9" s="184" customFormat="1" ht="20.25" customHeight="1">
      <c r="A71" s="1067" t="s">
        <v>271</v>
      </c>
      <c r="B71" s="1068"/>
      <c r="C71" s="1068"/>
      <c r="D71" s="1068"/>
      <c r="E71" s="1068"/>
      <c r="F71" s="1068"/>
      <c r="G71" s="1068"/>
      <c r="H71" s="1068"/>
      <c r="I71" s="1095"/>
    </row>
    <row r="72" spans="1:9" s="184" customFormat="1" ht="20.100000000000001" customHeight="1">
      <c r="A72" s="250" t="s">
        <v>77</v>
      </c>
      <c r="B72" s="985" t="s">
        <v>627</v>
      </c>
      <c r="C72" s="985"/>
      <c r="D72" s="985"/>
      <c r="E72" s="985"/>
      <c r="F72" s="985"/>
      <c r="G72" s="985"/>
      <c r="H72" s="1096"/>
      <c r="I72" s="418" t="s">
        <v>60</v>
      </c>
    </row>
    <row r="73" spans="1:9" s="184" customFormat="1" ht="20.100000000000001" customHeight="1">
      <c r="A73" s="226" t="s">
        <v>38</v>
      </c>
      <c r="B73" s="1012" t="s">
        <v>660</v>
      </c>
      <c r="C73" s="1013"/>
      <c r="D73" s="1013"/>
      <c r="E73" s="1013"/>
      <c r="F73" s="1013"/>
      <c r="G73" s="1014"/>
      <c r="H73" s="796">
        <v>9.1200000000000003E-2</v>
      </c>
      <c r="I73" s="406">
        <f t="shared" ref="I73:I79" si="14">ROUND($I$25*H73,2)</f>
        <v>143.83000000000001</v>
      </c>
    </row>
    <row r="74" spans="1:9" s="184" customFormat="1" ht="20.100000000000001" customHeight="1">
      <c r="A74" s="226" t="s">
        <v>40</v>
      </c>
      <c r="B74" s="988" t="s">
        <v>628</v>
      </c>
      <c r="C74" s="988"/>
      <c r="D74" s="988"/>
      <c r="E74" s="988"/>
      <c r="F74" s="988"/>
      <c r="G74" s="988"/>
      <c r="H74" s="433">
        <v>0</v>
      </c>
      <c r="I74" s="406">
        <f t="shared" si="14"/>
        <v>0</v>
      </c>
    </row>
    <row r="75" spans="1:9" s="184" customFormat="1" ht="20.100000000000001" customHeight="1">
      <c r="A75" s="226" t="s">
        <v>42</v>
      </c>
      <c r="B75" s="988" t="s">
        <v>629</v>
      </c>
      <c r="C75" s="988"/>
      <c r="D75" s="988"/>
      <c r="E75" s="988"/>
      <c r="F75" s="988"/>
      <c r="G75" s="988"/>
      <c r="H75" s="433">
        <v>0</v>
      </c>
      <c r="I75" s="406">
        <f t="shared" si="14"/>
        <v>0</v>
      </c>
    </row>
    <row r="76" spans="1:9" s="184" customFormat="1" ht="20.100000000000001" customHeight="1">
      <c r="A76" s="226" t="s">
        <v>44</v>
      </c>
      <c r="B76" s="988" t="s">
        <v>630</v>
      </c>
      <c r="C76" s="988"/>
      <c r="D76" s="988"/>
      <c r="E76" s="988"/>
      <c r="F76" s="988"/>
      <c r="G76" s="988"/>
      <c r="H76" s="433">
        <v>0</v>
      </c>
      <c r="I76" s="406">
        <f t="shared" si="14"/>
        <v>0</v>
      </c>
    </row>
    <row r="77" spans="1:9" s="184" customFormat="1" ht="20.100000000000001" customHeight="1">
      <c r="A77" s="226" t="s">
        <v>27</v>
      </c>
      <c r="B77" s="988" t="s">
        <v>631</v>
      </c>
      <c r="C77" s="988"/>
      <c r="D77" s="988"/>
      <c r="E77" s="988"/>
      <c r="F77" s="988"/>
      <c r="G77" s="988"/>
      <c r="H77" s="433">
        <v>0</v>
      </c>
      <c r="I77" s="406">
        <f t="shared" si="14"/>
        <v>0</v>
      </c>
    </row>
    <row r="78" spans="1:9" s="184" customFormat="1" ht="22.5" customHeight="1">
      <c r="A78" s="226" t="s">
        <v>67</v>
      </c>
      <c r="B78" s="988" t="s">
        <v>632</v>
      </c>
      <c r="C78" s="988"/>
      <c r="D78" s="988"/>
      <c r="E78" s="988"/>
      <c r="F78" s="988"/>
      <c r="G78" s="988"/>
      <c r="H78" s="433">
        <v>0</v>
      </c>
      <c r="I78" s="406">
        <f t="shared" si="14"/>
        <v>0</v>
      </c>
    </row>
    <row r="79" spans="1:9" s="184" customFormat="1" ht="20.100000000000001" customHeight="1">
      <c r="A79" s="226" t="s">
        <v>82</v>
      </c>
      <c r="B79" s="988" t="s">
        <v>633</v>
      </c>
      <c r="C79" s="988"/>
      <c r="D79" s="988"/>
      <c r="E79" s="988"/>
      <c r="F79" s="988"/>
      <c r="G79" s="988"/>
      <c r="H79" s="433">
        <v>0</v>
      </c>
      <c r="I79" s="406">
        <f t="shared" si="14"/>
        <v>0</v>
      </c>
    </row>
    <row r="80" spans="1:9" s="184" customFormat="1" ht="20.100000000000001" customHeight="1">
      <c r="A80" s="1001" t="s">
        <v>85</v>
      </c>
      <c r="B80" s="1001"/>
      <c r="C80" s="1001"/>
      <c r="D80" s="1001"/>
      <c r="E80" s="1001"/>
      <c r="F80" s="1001"/>
      <c r="G80" s="1001"/>
      <c r="H80" s="398">
        <f t="shared" ref="H80" si="15">SUM(H73:H79)</f>
        <v>9.1200000000000003E-2</v>
      </c>
      <c r="I80" s="407">
        <f t="shared" ref="I80" si="16">TRUNC(SUM(I73:I79),2)</f>
        <v>143.83000000000001</v>
      </c>
    </row>
    <row r="81" spans="1:9" s="184" customFormat="1" ht="20.100000000000001" customHeight="1">
      <c r="A81" s="226" t="s">
        <v>61</v>
      </c>
      <c r="B81" s="988" t="s">
        <v>276</v>
      </c>
      <c r="C81" s="988"/>
      <c r="D81" s="988"/>
      <c r="E81" s="988"/>
      <c r="F81" s="988"/>
      <c r="G81" s="988"/>
      <c r="H81" s="409">
        <f>H44*H80</f>
        <v>3.0825600000000002E-2</v>
      </c>
      <c r="I81" s="406">
        <f>ROUND(H44*I80,2)</f>
        <v>48.61</v>
      </c>
    </row>
    <row r="82" spans="1:9" s="184" customFormat="1" ht="20.100000000000001" customHeight="1">
      <c r="A82" s="1001" t="s">
        <v>84</v>
      </c>
      <c r="B82" s="1001"/>
      <c r="C82" s="1001"/>
      <c r="D82" s="1001"/>
      <c r="E82" s="1001"/>
      <c r="F82" s="1001"/>
      <c r="G82" s="1001"/>
      <c r="H82" s="398">
        <f>H80+H81</f>
        <v>0.12202560000000001</v>
      </c>
      <c r="I82" s="407">
        <f t="shared" ref="I82" si="17">TRUNC(SUM(I80:I81),2)</f>
        <v>192.44</v>
      </c>
    </row>
    <row r="83" spans="1:9" s="184" customFormat="1" ht="20.100000000000001" customHeight="1">
      <c r="A83" s="1067" t="s">
        <v>275</v>
      </c>
      <c r="B83" s="1068"/>
      <c r="C83" s="1068"/>
      <c r="D83" s="1068"/>
      <c r="E83" s="1068"/>
      <c r="F83" s="1068"/>
      <c r="G83" s="1068"/>
      <c r="H83" s="1068"/>
      <c r="I83" s="1095"/>
    </row>
    <row r="84" spans="1:9" s="184" customFormat="1" ht="18" customHeight="1">
      <c r="A84" s="250">
        <v>5</v>
      </c>
      <c r="B84" s="985" t="s">
        <v>70</v>
      </c>
      <c r="C84" s="985"/>
      <c r="D84" s="985"/>
      <c r="E84" s="985"/>
      <c r="F84" s="985"/>
      <c r="G84" s="985"/>
      <c r="H84" s="1096"/>
      <c r="I84" s="418" t="s">
        <v>60</v>
      </c>
    </row>
    <row r="85" spans="1:9" s="184" customFormat="1" ht="20.100000000000001" customHeight="1">
      <c r="A85" s="226" t="s">
        <v>38</v>
      </c>
      <c r="B85" s="988" t="s">
        <v>71</v>
      </c>
      <c r="C85" s="988"/>
      <c r="D85" s="988"/>
      <c r="E85" s="988"/>
      <c r="F85" s="988"/>
      <c r="G85" s="988"/>
      <c r="H85" s="989"/>
      <c r="I85" s="406">
        <f>Uniforme!I27</f>
        <v>0</v>
      </c>
    </row>
    <row r="86" spans="1:9" s="184" customFormat="1" ht="20.100000000000001" customHeight="1">
      <c r="A86" s="226" t="s">
        <v>40</v>
      </c>
      <c r="B86" s="988" t="s">
        <v>72</v>
      </c>
      <c r="C86" s="988"/>
      <c r="D86" s="988"/>
      <c r="E86" s="988"/>
      <c r="F86" s="988"/>
      <c r="G86" s="988"/>
      <c r="H86" s="989"/>
      <c r="I86" s="406">
        <f>'Mat. Lavador'!J20</f>
        <v>318.53166666666669</v>
      </c>
    </row>
    <row r="87" spans="1:9" s="184" customFormat="1" ht="20.100000000000001" customHeight="1">
      <c r="A87" s="226" t="s">
        <v>42</v>
      </c>
      <c r="B87" s="988" t="s">
        <v>73</v>
      </c>
      <c r="C87" s="988"/>
      <c r="D87" s="988"/>
      <c r="E87" s="988"/>
      <c r="F87" s="988"/>
      <c r="G87" s="988"/>
      <c r="H87" s="989"/>
      <c r="I87" s="406">
        <f>'Eq. Lavador'!J10</f>
        <v>13.553531250000001</v>
      </c>
    </row>
    <row r="88" spans="1:9" s="184" customFormat="1" ht="20.100000000000001" customHeight="1">
      <c r="A88" s="226" t="s">
        <v>44</v>
      </c>
      <c r="B88" s="988" t="s">
        <v>74</v>
      </c>
      <c r="C88" s="988"/>
      <c r="D88" s="988"/>
      <c r="E88" s="988"/>
      <c r="F88" s="988"/>
      <c r="G88" s="988"/>
      <c r="H88" s="989"/>
      <c r="I88" s="454"/>
    </row>
    <row r="89" spans="1:9" s="184" customFormat="1" ht="20.100000000000001" customHeight="1">
      <c r="A89" s="1001" t="s">
        <v>75</v>
      </c>
      <c r="B89" s="1001"/>
      <c r="C89" s="1001"/>
      <c r="D89" s="1001"/>
      <c r="E89" s="1001"/>
      <c r="F89" s="1001"/>
      <c r="G89" s="1001"/>
      <c r="H89" s="1007"/>
      <c r="I89" s="455">
        <f t="shared" ref="I89" si="18">TRUNC(SUM(I85:I88),2)</f>
        <v>332.08</v>
      </c>
    </row>
    <row r="90" spans="1:9" s="184" customFormat="1" ht="20.100000000000001" hidden="1" customHeight="1">
      <c r="A90" s="1072"/>
      <c r="B90" s="1072"/>
      <c r="C90" s="1072"/>
      <c r="D90" s="1072"/>
      <c r="E90" s="1072"/>
      <c r="F90" s="1072"/>
      <c r="G90" s="1072"/>
      <c r="H90" s="1072"/>
      <c r="I90" s="1073"/>
    </row>
    <row r="91" spans="1:9" s="184" customFormat="1" ht="19.5" hidden="1" customHeight="1">
      <c r="A91" s="999" t="s">
        <v>76</v>
      </c>
      <c r="B91" s="999"/>
      <c r="C91" s="999"/>
      <c r="D91" s="999"/>
      <c r="E91" s="999"/>
      <c r="F91" s="999"/>
      <c r="G91" s="999"/>
      <c r="H91" s="999"/>
      <c r="I91" s="999"/>
    </row>
    <row r="92" spans="1:9" s="184" customFormat="1" ht="20.100000000000001" customHeight="1">
      <c r="A92" s="1067" t="s">
        <v>274</v>
      </c>
      <c r="B92" s="1068"/>
      <c r="C92" s="1068"/>
      <c r="D92" s="1068"/>
      <c r="E92" s="1068"/>
      <c r="F92" s="1068"/>
      <c r="G92" s="1068"/>
      <c r="H92" s="1068"/>
      <c r="I92" s="1093"/>
    </row>
    <row r="93" spans="1:9" s="184" customFormat="1" ht="20.100000000000001" customHeight="1">
      <c r="A93" s="250">
        <v>6</v>
      </c>
      <c r="B93" s="985" t="s">
        <v>88</v>
      </c>
      <c r="C93" s="985"/>
      <c r="D93" s="985"/>
      <c r="E93" s="985"/>
      <c r="F93" s="985"/>
      <c r="G93" s="985"/>
      <c r="H93" s="416" t="s">
        <v>59</v>
      </c>
      <c r="I93" s="464" t="s">
        <v>60</v>
      </c>
    </row>
    <row r="94" spans="1:9" s="184" customFormat="1" ht="25.2" customHeight="1">
      <c r="A94" s="226" t="s">
        <v>38</v>
      </c>
      <c r="B94" s="988" t="s">
        <v>90</v>
      </c>
      <c r="C94" s="988"/>
      <c r="D94" s="988"/>
      <c r="E94" s="988"/>
      <c r="F94" s="988"/>
      <c r="G94" s="988"/>
      <c r="H94" s="425">
        <v>0</v>
      </c>
      <c r="I94" s="406">
        <f>ROUND(H94*I111,2)</f>
        <v>0</v>
      </c>
    </row>
    <row r="95" spans="1:9" s="184" customFormat="1" ht="22.95" customHeight="1">
      <c r="A95" s="226" t="s">
        <v>40</v>
      </c>
      <c r="B95" s="988" t="s">
        <v>91</v>
      </c>
      <c r="C95" s="988"/>
      <c r="D95" s="988"/>
      <c r="E95" s="988"/>
      <c r="F95" s="988"/>
      <c r="G95" s="988"/>
      <c r="H95" s="425">
        <v>0</v>
      </c>
      <c r="I95" s="406">
        <f>ROUND((I111+I94)*H95,2)</f>
        <v>0</v>
      </c>
    </row>
    <row r="96" spans="1:9" s="184" customFormat="1" ht="21" customHeight="1">
      <c r="A96" s="955" t="s">
        <v>42</v>
      </c>
      <c r="B96" s="988" t="s">
        <v>92</v>
      </c>
      <c r="C96" s="988"/>
      <c r="D96" s="988"/>
      <c r="E96" s="988"/>
      <c r="F96" s="988"/>
      <c r="G96" s="988"/>
      <c r="H96" s="426">
        <f>SUM(H98:H101)</f>
        <v>0</v>
      </c>
      <c r="I96" s="406">
        <f>TRUNC(SUM(I98:I101),2)</f>
        <v>0</v>
      </c>
    </row>
    <row r="97" spans="1:10" s="184" customFormat="1" ht="23.25" customHeight="1">
      <c r="A97" s="955"/>
      <c r="B97" s="988" t="s">
        <v>343</v>
      </c>
      <c r="C97" s="988"/>
      <c r="D97" s="988"/>
      <c r="E97" s="988"/>
      <c r="F97" s="988"/>
      <c r="G97" s="988"/>
      <c r="H97" s="427"/>
      <c r="I97" s="406"/>
    </row>
    <row r="98" spans="1:10" s="184" customFormat="1" ht="20.100000000000001" customHeight="1">
      <c r="A98" s="955"/>
      <c r="B98" s="1000" t="s">
        <v>354</v>
      </c>
      <c r="C98" s="1000"/>
      <c r="D98" s="1000"/>
      <c r="E98" s="1000"/>
      <c r="F98" s="1000"/>
      <c r="G98" s="1000"/>
      <c r="H98" s="428">
        <v>0</v>
      </c>
      <c r="I98" s="406">
        <f>ROUND(I113*H98,2)</f>
        <v>0</v>
      </c>
    </row>
    <row r="99" spans="1:10" s="184" customFormat="1" ht="27.75" customHeight="1">
      <c r="A99" s="955"/>
      <c r="B99" s="1000" t="s">
        <v>353</v>
      </c>
      <c r="C99" s="1000"/>
      <c r="D99" s="1000"/>
      <c r="E99" s="1000"/>
      <c r="F99" s="1000"/>
      <c r="G99" s="1000"/>
      <c r="H99" s="428">
        <v>0</v>
      </c>
      <c r="I99" s="406">
        <f>ROUND(I113*H99,2)</f>
        <v>0</v>
      </c>
    </row>
    <row r="100" spans="1:10" s="184" customFormat="1" ht="20.100000000000001" customHeight="1">
      <c r="A100" s="955"/>
      <c r="B100" s="988" t="s">
        <v>352</v>
      </c>
      <c r="C100" s="1000"/>
      <c r="D100" s="1000"/>
      <c r="E100" s="1000"/>
      <c r="F100" s="1000"/>
      <c r="G100" s="1000"/>
      <c r="H100" s="428">
        <v>0</v>
      </c>
      <c r="I100" s="406">
        <f>ROUND(I113*H100,2)</f>
        <v>0</v>
      </c>
    </row>
    <row r="101" spans="1:10" s="184" customFormat="1" ht="20.100000000000001" customHeight="1">
      <c r="A101" s="1339"/>
      <c r="B101" s="988" t="s">
        <v>675</v>
      </c>
      <c r="C101" s="1000"/>
      <c r="D101" s="1000"/>
      <c r="E101" s="1000"/>
      <c r="F101" s="1000"/>
      <c r="G101" s="1000"/>
      <c r="H101" s="428">
        <v>0</v>
      </c>
      <c r="I101" s="406">
        <f>ROUND(I113*H101,2)</f>
        <v>0</v>
      </c>
      <c r="J101"/>
    </row>
    <row r="102" spans="1:10" s="184" customFormat="1" ht="20.100000000000001" customHeight="1">
      <c r="A102" s="1001" t="s">
        <v>344</v>
      </c>
      <c r="B102" s="1001"/>
      <c r="C102" s="1001"/>
      <c r="D102" s="1001"/>
      <c r="E102" s="1001"/>
      <c r="F102" s="1001"/>
      <c r="G102" s="1001"/>
      <c r="H102" s="1007"/>
      <c r="I102" s="407">
        <f t="shared" ref="I102" si="19">TRUNC(SUM(I94:I96),2)</f>
        <v>0</v>
      </c>
    </row>
    <row r="103" spans="1:10" s="184" customFormat="1" ht="16.5" customHeight="1">
      <c r="A103" s="997"/>
      <c r="B103" s="997"/>
      <c r="C103" s="997"/>
      <c r="D103" s="997"/>
      <c r="E103" s="997"/>
      <c r="F103" s="997"/>
      <c r="G103" s="997"/>
      <c r="H103" s="997"/>
      <c r="I103" s="998"/>
    </row>
    <row r="104" spans="1:10" s="184" customFormat="1" ht="20.100000000000001" customHeight="1">
      <c r="A104" s="1078" t="s">
        <v>218</v>
      </c>
      <c r="B104" s="1079"/>
      <c r="C104" s="1079"/>
      <c r="D104" s="1079"/>
      <c r="E104" s="1079"/>
      <c r="F104" s="1079"/>
      <c r="G104" s="1079"/>
      <c r="H104" s="1079"/>
      <c r="I104" s="1098"/>
    </row>
    <row r="105" spans="1:10" s="184" customFormat="1" ht="20.100000000000001" customHeight="1">
      <c r="A105" s="985" t="s">
        <v>93</v>
      </c>
      <c r="B105" s="985"/>
      <c r="C105" s="985"/>
      <c r="D105" s="985"/>
      <c r="E105" s="985"/>
      <c r="F105" s="985"/>
      <c r="G105" s="985"/>
      <c r="H105" s="1096"/>
      <c r="I105" s="418" t="s">
        <v>60</v>
      </c>
    </row>
    <row r="106" spans="1:10" s="184" customFormat="1" ht="22.2" customHeight="1">
      <c r="A106" s="192" t="s">
        <v>38</v>
      </c>
      <c r="B106" s="988" t="s">
        <v>94</v>
      </c>
      <c r="C106" s="988"/>
      <c r="D106" s="988"/>
      <c r="E106" s="988"/>
      <c r="F106" s="988"/>
      <c r="G106" s="988"/>
      <c r="H106" s="989"/>
      <c r="I106" s="406">
        <f t="shared" ref="I106" si="20">I25</f>
        <v>1577.13</v>
      </c>
    </row>
    <row r="107" spans="1:10" s="184" customFormat="1" ht="20.100000000000001" customHeight="1">
      <c r="A107" s="192" t="s">
        <v>40</v>
      </c>
      <c r="B107" s="988" t="s">
        <v>273</v>
      </c>
      <c r="C107" s="988"/>
      <c r="D107" s="988"/>
      <c r="E107" s="988"/>
      <c r="F107" s="988"/>
      <c r="G107" s="988"/>
      <c r="H107" s="989"/>
      <c r="I107" s="406">
        <f t="shared" ref="I107" si="21">I61</f>
        <v>1181.3699999999999</v>
      </c>
    </row>
    <row r="108" spans="1:10" s="184" customFormat="1" ht="20.100000000000001" customHeight="1">
      <c r="A108" s="192" t="s">
        <v>42</v>
      </c>
      <c r="B108" s="988" t="s">
        <v>272</v>
      </c>
      <c r="C108" s="988"/>
      <c r="D108" s="988"/>
      <c r="E108" s="988"/>
      <c r="F108" s="988"/>
      <c r="G108" s="988"/>
      <c r="H108" s="989"/>
      <c r="I108" s="406">
        <f t="shared" ref="I108" si="22">I70</f>
        <v>119.80000000000001</v>
      </c>
    </row>
    <row r="109" spans="1:10" s="184" customFormat="1" ht="20.100000000000001" customHeight="1">
      <c r="A109" s="192" t="s">
        <v>44</v>
      </c>
      <c r="B109" s="988" t="s">
        <v>271</v>
      </c>
      <c r="C109" s="988"/>
      <c r="D109" s="988"/>
      <c r="E109" s="988"/>
      <c r="F109" s="988"/>
      <c r="G109" s="988"/>
      <c r="H109" s="989"/>
      <c r="I109" s="406">
        <f t="shared" ref="I109" si="23">I82</f>
        <v>192.44</v>
      </c>
    </row>
    <row r="110" spans="1:10" s="184" customFormat="1" ht="20.100000000000001" customHeight="1">
      <c r="A110" s="192" t="s">
        <v>27</v>
      </c>
      <c r="B110" s="988" t="s">
        <v>270</v>
      </c>
      <c r="C110" s="988"/>
      <c r="D110" s="988"/>
      <c r="E110" s="988"/>
      <c r="F110" s="988"/>
      <c r="G110" s="988"/>
      <c r="H110" s="989"/>
      <c r="I110" s="406">
        <f t="shared" ref="I110" si="24">I89</f>
        <v>332.08</v>
      </c>
    </row>
    <row r="111" spans="1:10" s="184" customFormat="1" ht="20.100000000000001" customHeight="1">
      <c r="A111" s="1002" t="s">
        <v>342</v>
      </c>
      <c r="B111" s="1002"/>
      <c r="C111" s="1002"/>
      <c r="D111" s="1002"/>
      <c r="E111" s="1002"/>
      <c r="F111" s="1002"/>
      <c r="G111" s="1002"/>
      <c r="H111" s="1003"/>
      <c r="I111" s="407">
        <f t="shared" ref="I111" si="25">TRUNC(SUM(I106:I110),2)</f>
        <v>3402.82</v>
      </c>
    </row>
    <row r="112" spans="1:10" s="184" customFormat="1" ht="20.100000000000001" customHeight="1">
      <c r="A112" s="223" t="s">
        <v>67</v>
      </c>
      <c r="B112" s="988" t="s">
        <v>269</v>
      </c>
      <c r="C112" s="988"/>
      <c r="D112" s="988"/>
      <c r="E112" s="988"/>
      <c r="F112" s="988"/>
      <c r="G112" s="988"/>
      <c r="H112" s="989"/>
      <c r="I112" s="406">
        <f t="shared" ref="I112" si="26">I102</f>
        <v>0</v>
      </c>
    </row>
    <row r="113" spans="1:9" s="184" customFormat="1" ht="20.100000000000001" customHeight="1">
      <c r="A113" s="1004" t="s">
        <v>398</v>
      </c>
      <c r="B113" s="1004"/>
      <c r="C113" s="1004"/>
      <c r="D113" s="1004"/>
      <c r="E113" s="1004"/>
      <c r="F113" s="1004"/>
      <c r="G113" s="1004"/>
      <c r="H113" s="1005"/>
      <c r="I113" s="465">
        <f>TRUNC((I111+I94+I95)/(1-H96),2)</f>
        <v>3402.82</v>
      </c>
    </row>
    <row r="114" spans="1:9" s="184" customFormat="1" ht="20.100000000000001" customHeight="1">
      <c r="A114" s="193"/>
      <c r="B114" s="193"/>
      <c r="C114" s="193"/>
      <c r="D114" s="193"/>
      <c r="E114" s="193"/>
      <c r="F114" s="193"/>
      <c r="G114" s="193"/>
      <c r="H114" s="194"/>
      <c r="I114" s="195"/>
    </row>
    <row r="115" spans="1:9" s="618" customFormat="1" ht="15" customHeight="1">
      <c r="A115" s="1043"/>
      <c r="B115" s="1043"/>
      <c r="C115" s="1043"/>
      <c r="D115" s="1043"/>
      <c r="E115" s="104"/>
      <c r="F115" s="104"/>
      <c r="G115" s="104"/>
      <c r="H115" s="104"/>
      <c r="I115" s="104"/>
    </row>
    <row r="116" spans="1:9" s="618" customFormat="1" ht="15" customHeight="1">
      <c r="A116" s="617"/>
      <c r="B116" s="617"/>
      <c r="C116" s="617"/>
      <c r="D116" s="617"/>
      <c r="E116" s="104"/>
      <c r="F116" s="104"/>
      <c r="G116" s="104"/>
      <c r="H116" s="104"/>
      <c r="I116" s="104"/>
    </row>
    <row r="117" spans="1:9" s="618" customFormat="1" ht="15" customHeight="1">
      <c r="A117" s="1040"/>
      <c r="B117" s="1040"/>
      <c r="C117" s="1040"/>
      <c r="D117" s="1040"/>
      <c r="E117" s="1040"/>
      <c r="F117" s="1040"/>
      <c r="G117" s="1040"/>
      <c r="H117" s="1040"/>
      <c r="I117" s="1040"/>
    </row>
    <row r="118" spans="1:9" s="618" customFormat="1" ht="15" customHeight="1">
      <c r="A118" s="1040"/>
      <c r="B118" s="1040"/>
      <c r="C118" s="1040"/>
      <c r="D118" s="1040"/>
      <c r="E118" s="1040"/>
      <c r="F118" s="1040"/>
      <c r="G118" s="1040"/>
      <c r="H118" s="1040"/>
      <c r="I118" s="1040"/>
    </row>
    <row r="119" spans="1:9" s="618" customFormat="1" ht="15" customHeight="1"/>
    <row r="120" spans="1:9" customFormat="1" ht="21.75" customHeight="1"/>
    <row r="121" spans="1:9" customFormat="1" ht="19.2" customHeight="1"/>
    <row r="122" spans="1:9" customFormat="1" ht="20.100000000000001" customHeight="1"/>
    <row r="123" spans="1:9" customFormat="1" ht="44.4" customHeight="1"/>
    <row r="124" spans="1:9" customFormat="1" ht="34.950000000000003" customHeight="1"/>
    <row r="125" spans="1:9" customFormat="1" ht="31.2" customHeight="1"/>
    <row r="126" spans="1:9" customFormat="1" ht="34.950000000000003" customHeight="1"/>
    <row r="127" spans="1:9" customFormat="1" ht="31.95" customHeight="1"/>
    <row r="128" spans="1:9" customFormat="1" ht="14.4"/>
    <row r="129" spans="8:222" customFormat="1" ht="19.2" customHeight="1"/>
    <row r="130" spans="8:222" customFormat="1" ht="14.4"/>
    <row r="131" spans="8:222" customFormat="1" ht="19.2" customHeight="1"/>
    <row r="132" spans="8:222" customFormat="1" ht="20.399999999999999" customHeight="1"/>
    <row r="133" spans="8:222" s="184" customFormat="1">
      <c r="H133" s="201"/>
      <c r="I133" s="202"/>
      <c r="HN133" s="185"/>
    </row>
  </sheetData>
  <mergeCells count="141">
    <mergeCell ref="B101:G101"/>
    <mergeCell ref="A115:D115"/>
    <mergeCell ref="A117:I118"/>
    <mergeCell ref="A1:H1"/>
    <mergeCell ref="B48:F48"/>
    <mergeCell ref="B47:E47"/>
    <mergeCell ref="A113:H113"/>
    <mergeCell ref="B107:H107"/>
    <mergeCell ref="B108:H108"/>
    <mergeCell ref="B109:H109"/>
    <mergeCell ref="B110:H110"/>
    <mergeCell ref="A111:H111"/>
    <mergeCell ref="B112:H112"/>
    <mergeCell ref="B100:G100"/>
    <mergeCell ref="A102:H102"/>
    <mergeCell ref="A103:I103"/>
    <mergeCell ref="A104:I104"/>
    <mergeCell ref="A105:H105"/>
    <mergeCell ref="B106:H106"/>
    <mergeCell ref="A91:I91"/>
    <mergeCell ref="A92:I92"/>
    <mergeCell ref="B93:G93"/>
    <mergeCell ref="B94:G94"/>
    <mergeCell ref="B95:G95"/>
    <mergeCell ref="A96:A100"/>
    <mergeCell ref="B96:G96"/>
    <mergeCell ref="B97:G97"/>
    <mergeCell ref="B98:G98"/>
    <mergeCell ref="B99:G99"/>
    <mergeCell ref="B85:H85"/>
    <mergeCell ref="B86:H86"/>
    <mergeCell ref="B87:H87"/>
    <mergeCell ref="B88:H88"/>
    <mergeCell ref="A89:H89"/>
    <mergeCell ref="A90:I90"/>
    <mergeCell ref="B79:G79"/>
    <mergeCell ref="A80:G80"/>
    <mergeCell ref="B81:G81"/>
    <mergeCell ref="A82:G82"/>
    <mergeCell ref="A83:I83"/>
    <mergeCell ref="B84:H84"/>
    <mergeCell ref="B73:G73"/>
    <mergeCell ref="B74:G74"/>
    <mergeCell ref="B75:G75"/>
    <mergeCell ref="B76:G76"/>
    <mergeCell ref="B77:G77"/>
    <mergeCell ref="B78:G78"/>
    <mergeCell ref="B67:G67"/>
    <mergeCell ref="B68:G68"/>
    <mergeCell ref="B69:G69"/>
    <mergeCell ref="A70:G70"/>
    <mergeCell ref="A71:I71"/>
    <mergeCell ref="B72:H72"/>
    <mergeCell ref="A61:G61"/>
    <mergeCell ref="A62:I62"/>
    <mergeCell ref="B63:H63"/>
    <mergeCell ref="B64:G64"/>
    <mergeCell ref="B65:G65"/>
    <mergeCell ref="B66:G66"/>
    <mergeCell ref="A55:I55"/>
    <mergeCell ref="A56:I56"/>
    <mergeCell ref="B57:G57"/>
    <mergeCell ref="B58:G58"/>
    <mergeCell ref="B59:G59"/>
    <mergeCell ref="B60:G60"/>
    <mergeCell ref="B49:H49"/>
    <mergeCell ref="B50:H50"/>
    <mergeCell ref="B51:H51"/>
    <mergeCell ref="B52:H52"/>
    <mergeCell ref="B53:H53"/>
    <mergeCell ref="A54:I54"/>
    <mergeCell ref="GW47:HD47"/>
    <mergeCell ref="FA47:FH47"/>
    <mergeCell ref="FI47:FP47"/>
    <mergeCell ref="FQ47:FX47"/>
    <mergeCell ref="FY47:GF47"/>
    <mergeCell ref="GG47:GN47"/>
    <mergeCell ref="GO47:GV47"/>
    <mergeCell ref="DE47:DL47"/>
    <mergeCell ref="DM47:DT47"/>
    <mergeCell ref="DU47:EB47"/>
    <mergeCell ref="EC47:EJ47"/>
    <mergeCell ref="EK47:ER47"/>
    <mergeCell ref="ES47:EZ47"/>
    <mergeCell ref="BI47:BP47"/>
    <mergeCell ref="BQ47:BX47"/>
    <mergeCell ref="BY47:CF47"/>
    <mergeCell ref="CG47:CN47"/>
    <mergeCell ref="CO47:CV47"/>
    <mergeCell ref="CW47:DD47"/>
    <mergeCell ref="J47:N47"/>
    <mergeCell ref="U47:AB47"/>
    <mergeCell ref="AC47:AJ47"/>
    <mergeCell ref="AK47:AR47"/>
    <mergeCell ref="AS47:AZ47"/>
    <mergeCell ref="BA47:BH47"/>
    <mergeCell ref="B42:G42"/>
    <mergeCell ref="B43:G43"/>
    <mergeCell ref="A44:G44"/>
    <mergeCell ref="A45:I45"/>
    <mergeCell ref="B46:H46"/>
    <mergeCell ref="B36:G36"/>
    <mergeCell ref="B37:G37"/>
    <mergeCell ref="B38:G38"/>
    <mergeCell ref="B39:G39"/>
    <mergeCell ref="B40:G40"/>
    <mergeCell ref="B41:G41"/>
    <mergeCell ref="B30:G30"/>
    <mergeCell ref="A31:G31"/>
    <mergeCell ref="B32:G32"/>
    <mergeCell ref="A33:G33"/>
    <mergeCell ref="A34:I34"/>
    <mergeCell ref="B35:G35"/>
    <mergeCell ref="A26:I26"/>
    <mergeCell ref="A27:I27"/>
    <mergeCell ref="B28:G28"/>
    <mergeCell ref="B29:G29"/>
    <mergeCell ref="B24:H24"/>
    <mergeCell ref="A25:H25"/>
    <mergeCell ref="A2:I2"/>
    <mergeCell ref="B3:H3"/>
    <mergeCell ref="B4:H4"/>
    <mergeCell ref="B5:H5"/>
    <mergeCell ref="B11:H11"/>
    <mergeCell ref="B12:H12"/>
    <mergeCell ref="B13:H13"/>
    <mergeCell ref="B14:H14"/>
    <mergeCell ref="B15:H15"/>
    <mergeCell ref="B17:H17"/>
    <mergeCell ref="A19:H19"/>
    <mergeCell ref="A20:I20"/>
    <mergeCell ref="B21:G21"/>
    <mergeCell ref="B22:H22"/>
    <mergeCell ref="B23:G23"/>
    <mergeCell ref="B16:H16"/>
    <mergeCell ref="B6:H6"/>
    <mergeCell ref="A7:I7"/>
    <mergeCell ref="A8:F8"/>
    <mergeCell ref="G8:H8"/>
    <mergeCell ref="A9:F9"/>
    <mergeCell ref="G9:H9"/>
  </mergeCells>
  <pageMargins left="0.23622047244094491" right="0.23622047244094491" top="0.74803149606299213" bottom="0.74803149606299213" header="0.31496062992125984" footer="0.31496062992125984"/>
  <pageSetup paperSize="9" scale="10" firstPageNumber="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66FF66"/>
    <pageSetUpPr fitToPage="1"/>
  </sheetPr>
  <dimension ref="A1:HN132"/>
  <sheetViews>
    <sheetView showGridLines="0" zoomScale="110" zoomScaleNormal="110" workbookViewId="0">
      <pane ySplit="1" topLeftCell="A83" activePane="bottomLeft" state="frozen"/>
      <selection pane="bottomLeft" activeCell="A89" sqref="A89:XFD92"/>
    </sheetView>
  </sheetViews>
  <sheetFormatPr defaultColWidth="8.88671875" defaultRowHeight="13.8"/>
  <cols>
    <col min="1" max="1" width="5.5546875" style="184" customWidth="1"/>
    <col min="2" max="3" width="8.88671875" style="184"/>
    <col min="4" max="4" width="10.6640625" style="184" customWidth="1"/>
    <col min="5" max="5" width="8.88671875" style="184"/>
    <col min="6" max="6" width="11.5546875" style="184" customWidth="1"/>
    <col min="7" max="7" width="19.77734375" style="184" customWidth="1"/>
    <col min="8" max="8" width="12.6640625" style="201" customWidth="1"/>
    <col min="9" max="9" width="14.109375" style="202" customWidth="1"/>
    <col min="10" max="16" width="8.88671875" style="184"/>
    <col min="17" max="17" width="11.6640625" style="184" customWidth="1"/>
    <col min="18" max="221" width="8.88671875" style="184"/>
    <col min="222" max="16384" width="8.88671875" style="185"/>
  </cols>
  <sheetData>
    <row r="1" spans="1:9" ht="31.8" customHeight="1">
      <c r="A1" s="1074" t="s">
        <v>604</v>
      </c>
      <c r="B1" s="1074"/>
      <c r="C1" s="1074"/>
      <c r="D1" s="1074"/>
      <c r="E1" s="1074"/>
      <c r="F1" s="1074"/>
      <c r="G1" s="1074"/>
      <c r="H1" s="1097"/>
      <c r="I1" s="459" t="s">
        <v>605</v>
      </c>
    </row>
    <row r="2" spans="1:9" s="184" customFormat="1" ht="20.100000000000001" customHeight="1">
      <c r="A2" s="1101" t="s">
        <v>37</v>
      </c>
      <c r="B2" s="1102"/>
      <c r="C2" s="1102"/>
      <c r="D2" s="1102"/>
      <c r="E2" s="1102"/>
      <c r="F2" s="1102"/>
      <c r="G2" s="1102"/>
      <c r="H2" s="1102"/>
      <c r="I2" s="1049"/>
    </row>
    <row r="3" spans="1:9" s="184" customFormat="1" ht="20.100000000000001" customHeight="1">
      <c r="A3" s="226" t="s">
        <v>38</v>
      </c>
      <c r="B3" s="969" t="s">
        <v>39</v>
      </c>
      <c r="C3" s="970"/>
      <c r="D3" s="970"/>
      <c r="E3" s="970"/>
      <c r="F3" s="970"/>
      <c r="G3" s="970"/>
      <c r="H3" s="971"/>
      <c r="I3" s="411"/>
    </row>
    <row r="4" spans="1:9" s="184" customFormat="1" ht="28.95" customHeight="1">
      <c r="A4" s="226" t="s">
        <v>40</v>
      </c>
      <c r="B4" s="969" t="s">
        <v>41</v>
      </c>
      <c r="C4" s="970"/>
      <c r="D4" s="970"/>
      <c r="E4" s="970"/>
      <c r="F4" s="970"/>
      <c r="G4" s="970"/>
      <c r="H4" s="971"/>
      <c r="I4" s="438" t="s">
        <v>443</v>
      </c>
    </row>
    <row r="5" spans="1:9" s="184" customFormat="1" ht="20.100000000000001" customHeight="1">
      <c r="A5" s="226" t="s">
        <v>42</v>
      </c>
      <c r="B5" s="969" t="s">
        <v>43</v>
      </c>
      <c r="C5" s="970"/>
      <c r="D5" s="970"/>
      <c r="E5" s="970"/>
      <c r="F5" s="970"/>
      <c r="G5" s="970"/>
      <c r="H5" s="971"/>
      <c r="I5" s="412"/>
    </row>
    <row r="6" spans="1:9" s="184" customFormat="1" ht="20.100000000000001" customHeight="1">
      <c r="A6" s="226" t="s">
        <v>44</v>
      </c>
      <c r="B6" s="969" t="s">
        <v>45</v>
      </c>
      <c r="C6" s="970"/>
      <c r="D6" s="970"/>
      <c r="E6" s="970"/>
      <c r="F6" s="970"/>
      <c r="G6" s="970"/>
      <c r="H6" s="971"/>
      <c r="I6" s="412">
        <v>20</v>
      </c>
    </row>
    <row r="7" spans="1:9" s="184" customFormat="1" ht="20.100000000000001" customHeight="1">
      <c r="A7" s="1099" t="s">
        <v>46</v>
      </c>
      <c r="B7" s="1100"/>
      <c r="C7" s="1100"/>
      <c r="D7" s="1100"/>
      <c r="E7" s="1100"/>
      <c r="F7" s="1100"/>
      <c r="G7" s="1100"/>
      <c r="H7" s="1100"/>
      <c r="I7" s="1047"/>
    </row>
    <row r="8" spans="1:9" s="184" customFormat="1" ht="48" customHeight="1">
      <c r="A8" s="958" t="s">
        <v>47</v>
      </c>
      <c r="B8" s="958"/>
      <c r="C8" s="958"/>
      <c r="D8" s="958"/>
      <c r="E8" s="958"/>
      <c r="F8" s="958"/>
      <c r="G8" s="958" t="s">
        <v>48</v>
      </c>
      <c r="H8" s="1010"/>
      <c r="I8" s="459" t="s">
        <v>383</v>
      </c>
    </row>
    <row r="9" spans="1:9" s="184" customFormat="1" ht="20.100000000000001" customHeight="1">
      <c r="A9" s="955" t="s">
        <v>359</v>
      </c>
      <c r="B9" s="955"/>
      <c r="C9" s="955"/>
      <c r="D9" s="955"/>
      <c r="E9" s="955"/>
      <c r="F9" s="955"/>
      <c r="G9" s="955" t="s">
        <v>314</v>
      </c>
      <c r="H9" s="955"/>
      <c r="I9" s="466">
        <v>2</v>
      </c>
    </row>
    <row r="10" spans="1:9" s="184" customFormat="1" ht="20.100000000000001" customHeight="1">
      <c r="A10" s="1101" t="s">
        <v>51</v>
      </c>
      <c r="B10" s="1102"/>
      <c r="C10" s="1102"/>
      <c r="D10" s="1102"/>
      <c r="E10" s="1102"/>
      <c r="F10" s="1102"/>
      <c r="G10" s="1102"/>
      <c r="H10" s="1102"/>
      <c r="I10" s="1049"/>
    </row>
    <row r="11" spans="1:9" s="184" customFormat="1" ht="23.4" customHeight="1">
      <c r="A11" s="226">
        <v>1</v>
      </c>
      <c r="B11" s="969" t="s">
        <v>52</v>
      </c>
      <c r="C11" s="970"/>
      <c r="D11" s="970"/>
      <c r="E11" s="970"/>
      <c r="F11" s="970"/>
      <c r="G11" s="970"/>
      <c r="H11" s="971"/>
      <c r="I11" s="414" t="str">
        <f>$A$9</f>
        <v>Lavagens de veículos</v>
      </c>
    </row>
    <row r="12" spans="1:9" s="184" customFormat="1" ht="20.100000000000001" customHeight="1">
      <c r="A12" s="226">
        <v>2</v>
      </c>
      <c r="B12" s="969" t="s">
        <v>293</v>
      </c>
      <c r="C12" s="970"/>
      <c r="D12" s="970"/>
      <c r="E12" s="970"/>
      <c r="F12" s="970"/>
      <c r="G12" s="970"/>
      <c r="H12" s="971"/>
      <c r="I12" s="451" t="s">
        <v>294</v>
      </c>
    </row>
    <row r="13" spans="1:9" s="184" customFormat="1" ht="20.100000000000001" customHeight="1">
      <c r="A13" s="226">
        <v>3</v>
      </c>
      <c r="B13" s="969" t="s">
        <v>53</v>
      </c>
      <c r="C13" s="970"/>
      <c r="D13" s="970"/>
      <c r="E13" s="970"/>
      <c r="F13" s="970"/>
      <c r="G13" s="970"/>
      <c r="H13" s="971"/>
      <c r="I13" s="451">
        <v>1213.18</v>
      </c>
    </row>
    <row r="14" spans="1:9" s="184" customFormat="1" ht="20.100000000000001" customHeight="1">
      <c r="A14" s="226">
        <v>4</v>
      </c>
      <c r="B14" s="969" t="s">
        <v>54</v>
      </c>
      <c r="C14" s="970"/>
      <c r="D14" s="970"/>
      <c r="E14" s="970"/>
      <c r="F14" s="970"/>
      <c r="G14" s="970"/>
      <c r="H14" s="971"/>
      <c r="I14" s="452" t="s">
        <v>36</v>
      </c>
    </row>
    <row r="15" spans="1:9" s="184" customFormat="1" ht="20.100000000000001" customHeight="1">
      <c r="A15" s="226">
        <v>5</v>
      </c>
      <c r="B15" s="969" t="s">
        <v>55</v>
      </c>
      <c r="C15" s="970"/>
      <c r="D15" s="970"/>
      <c r="E15" s="970"/>
      <c r="F15" s="970"/>
      <c r="G15" s="970"/>
      <c r="H15" s="971"/>
      <c r="I15" s="411">
        <v>43101</v>
      </c>
    </row>
    <row r="16" spans="1:9" s="184" customFormat="1" ht="20.100000000000001" customHeight="1">
      <c r="A16" s="226">
        <v>6</v>
      </c>
      <c r="B16" s="969" t="s">
        <v>56</v>
      </c>
      <c r="C16" s="970"/>
      <c r="D16" s="970"/>
      <c r="E16" s="970"/>
      <c r="F16" s="970"/>
      <c r="G16" s="970"/>
      <c r="H16" s="971"/>
      <c r="I16" s="451">
        <v>954</v>
      </c>
    </row>
    <row r="17" spans="1:222" s="184" customFormat="1" ht="20.100000000000001" customHeight="1">
      <c r="A17" s="226">
        <v>7</v>
      </c>
      <c r="B17" s="969" t="s">
        <v>330</v>
      </c>
      <c r="C17" s="970"/>
      <c r="D17" s="970"/>
      <c r="E17" s="970"/>
      <c r="F17" s="970"/>
      <c r="G17" s="970"/>
      <c r="H17" s="971"/>
      <c r="I17" s="450">
        <v>21</v>
      </c>
    </row>
    <row r="18" spans="1:222" s="222" customFormat="1" ht="20.100000000000001" customHeight="1">
      <c r="A18" s="219"/>
      <c r="B18" s="220"/>
      <c r="C18" s="220"/>
      <c r="D18" s="220"/>
      <c r="E18" s="220"/>
      <c r="F18" s="220"/>
      <c r="G18" s="220"/>
      <c r="H18" s="221"/>
      <c r="I18" s="221"/>
    </row>
    <row r="19" spans="1:222" s="184" customFormat="1" ht="31.2" customHeight="1">
      <c r="A19" s="1035" t="s">
        <v>334</v>
      </c>
      <c r="B19" s="1035"/>
      <c r="C19" s="1035"/>
      <c r="D19" s="1035"/>
      <c r="E19" s="1035"/>
      <c r="F19" s="1035"/>
      <c r="G19" s="1035"/>
      <c r="H19" s="1035"/>
      <c r="I19" s="254" t="s">
        <v>606</v>
      </c>
    </row>
    <row r="20" spans="1:222" s="184" customFormat="1" ht="20.100000000000001" customHeight="1">
      <c r="A20" s="1067" t="s">
        <v>57</v>
      </c>
      <c r="B20" s="1068"/>
      <c r="C20" s="1068"/>
      <c r="D20" s="1068"/>
      <c r="E20" s="1068"/>
      <c r="F20" s="1068"/>
      <c r="G20" s="1068"/>
      <c r="H20" s="1068"/>
      <c r="I20" s="1071"/>
    </row>
    <row r="21" spans="1:222" s="184" customFormat="1" ht="20.100000000000001" customHeight="1">
      <c r="A21" s="250">
        <v>1</v>
      </c>
      <c r="B21" s="985" t="s">
        <v>58</v>
      </c>
      <c r="C21" s="985"/>
      <c r="D21" s="985"/>
      <c r="E21" s="985"/>
      <c r="F21" s="985"/>
      <c r="G21" s="985"/>
      <c r="H21" s="416" t="s">
        <v>59</v>
      </c>
      <c r="I21" s="418" t="s">
        <v>60</v>
      </c>
    </row>
    <row r="22" spans="1:222" s="184" customFormat="1" ht="19.2" customHeight="1">
      <c r="A22" s="226" t="s">
        <v>38</v>
      </c>
      <c r="B22" s="1011" t="s">
        <v>332</v>
      </c>
      <c r="C22" s="1011"/>
      <c r="D22" s="1011"/>
      <c r="E22" s="1011"/>
      <c r="F22" s="1011"/>
      <c r="G22" s="1011"/>
      <c r="H22" s="1012"/>
      <c r="I22" s="419">
        <f t="shared" ref="I22" si="0">I13</f>
        <v>1213.18</v>
      </c>
    </row>
    <row r="23" spans="1:222" s="184" customFormat="1" ht="20.399999999999999" customHeight="1">
      <c r="A23" s="226" t="s">
        <v>40</v>
      </c>
      <c r="B23" s="1028" t="s">
        <v>292</v>
      </c>
      <c r="C23" s="1028"/>
      <c r="D23" s="1028"/>
      <c r="E23" s="1028"/>
      <c r="F23" s="1028"/>
      <c r="G23" s="1028"/>
      <c r="H23" s="417">
        <v>0.3</v>
      </c>
      <c r="I23" s="419">
        <f>ROUND(I22*H23,2)</f>
        <v>363.95</v>
      </c>
    </row>
    <row r="24" spans="1:222" s="184" customFormat="1" ht="20.100000000000001" customHeight="1">
      <c r="A24" s="226" t="s">
        <v>44</v>
      </c>
      <c r="B24" s="988" t="s">
        <v>62</v>
      </c>
      <c r="C24" s="988"/>
      <c r="D24" s="988"/>
      <c r="E24" s="988"/>
      <c r="F24" s="988"/>
      <c r="G24" s="988"/>
      <c r="H24" s="989"/>
      <c r="I24" s="419"/>
    </row>
    <row r="25" spans="1:222" s="184" customFormat="1" ht="20.100000000000001" customHeight="1">
      <c r="A25" s="1001" t="s">
        <v>63</v>
      </c>
      <c r="B25" s="1001"/>
      <c r="C25" s="1001"/>
      <c r="D25" s="1001"/>
      <c r="E25" s="1001"/>
      <c r="F25" s="1001"/>
      <c r="G25" s="1001"/>
      <c r="H25" s="1007"/>
      <c r="I25" s="420">
        <f t="shared" ref="I25" si="1">TRUNC(SUM(I22:I24),2)</f>
        <v>1577.13</v>
      </c>
    </row>
    <row r="26" spans="1:222" s="184" customFormat="1" ht="20.100000000000001" customHeight="1">
      <c r="A26" s="1067" t="s">
        <v>291</v>
      </c>
      <c r="B26" s="1068"/>
      <c r="C26" s="1068"/>
      <c r="D26" s="1068"/>
      <c r="E26" s="1068"/>
      <c r="F26" s="1068"/>
      <c r="G26" s="1068"/>
      <c r="H26" s="1068"/>
      <c r="I26" s="1070"/>
    </row>
    <row r="27" spans="1:222" s="184" customFormat="1" ht="20.100000000000001" customHeight="1">
      <c r="A27" s="1067" t="s">
        <v>624</v>
      </c>
      <c r="B27" s="1068"/>
      <c r="C27" s="1068"/>
      <c r="D27" s="1068"/>
      <c r="E27" s="1068"/>
      <c r="F27" s="1068"/>
      <c r="G27" s="1068"/>
      <c r="H27" s="1068"/>
      <c r="I27" s="1093"/>
    </row>
    <row r="28" spans="1:222" s="184" customFormat="1" ht="25.2" customHeight="1">
      <c r="A28" s="250" t="s">
        <v>8</v>
      </c>
      <c r="B28" s="1025" t="s">
        <v>626</v>
      </c>
      <c r="C28" s="1025"/>
      <c r="D28" s="1025"/>
      <c r="E28" s="1025"/>
      <c r="F28" s="1025"/>
      <c r="G28" s="1025"/>
      <c r="H28" s="461" t="s">
        <v>59</v>
      </c>
      <c r="I28" s="418" t="s">
        <v>60</v>
      </c>
    </row>
    <row r="29" spans="1:222" s="184" customFormat="1" ht="21" customHeight="1">
      <c r="A29" s="226" t="s">
        <v>38</v>
      </c>
      <c r="B29" s="1011" t="s">
        <v>331</v>
      </c>
      <c r="C29" s="1011"/>
      <c r="D29" s="1011"/>
      <c r="E29" s="1011"/>
      <c r="F29" s="1011"/>
      <c r="G29" s="1011"/>
      <c r="H29" s="408">
        <v>8.3330000000000001E-2</v>
      </c>
      <c r="I29" s="406">
        <f>ROUND($I$25*H29,2)</f>
        <v>131.41999999999999</v>
      </c>
    </row>
    <row r="30" spans="1:222" s="184" customFormat="1" ht="18" customHeight="1">
      <c r="A30" s="226" t="s">
        <v>40</v>
      </c>
      <c r="B30" s="988" t="s">
        <v>625</v>
      </c>
      <c r="C30" s="988"/>
      <c r="D30" s="988"/>
      <c r="E30" s="988"/>
      <c r="F30" s="988"/>
      <c r="G30" s="988"/>
      <c r="H30" s="795">
        <f>(5/56/3)</f>
        <v>2.9761904761904764E-2</v>
      </c>
      <c r="I30" s="406">
        <f>ROUND(H30*I25,2)</f>
        <v>46.94</v>
      </c>
    </row>
    <row r="31" spans="1:222" s="184" customFormat="1" ht="20.100000000000001" customHeight="1">
      <c r="A31" s="1001" t="s">
        <v>85</v>
      </c>
      <c r="B31" s="1001"/>
      <c r="C31" s="1001"/>
      <c r="D31" s="1001"/>
      <c r="E31" s="1001"/>
      <c r="F31" s="1001"/>
      <c r="G31" s="1001"/>
      <c r="H31" s="398">
        <f t="shared" ref="H31" si="2">H29+H30</f>
        <v>0.11309190476190477</v>
      </c>
      <c r="I31" s="407">
        <f t="shared" ref="I31" si="3">TRUNC(I29+I30,2)</f>
        <v>178.36</v>
      </c>
      <c r="HN31" s="185"/>
    </row>
    <row r="32" spans="1:222" ht="20.100000000000001" customHeight="1">
      <c r="A32" s="226" t="s">
        <v>42</v>
      </c>
      <c r="B32" s="1011" t="s">
        <v>290</v>
      </c>
      <c r="C32" s="1011"/>
      <c r="D32" s="1011"/>
      <c r="E32" s="1011"/>
      <c r="F32" s="1011"/>
      <c r="G32" s="1011"/>
      <c r="H32" s="409">
        <f>H31*H44</f>
        <v>3.8225063809523813E-2</v>
      </c>
      <c r="I32" s="407">
        <f>ROUND(I31*H44,2)</f>
        <v>60.29</v>
      </c>
    </row>
    <row r="33" spans="1:221" ht="20.100000000000001" customHeight="1">
      <c r="A33" s="1001" t="s">
        <v>84</v>
      </c>
      <c r="B33" s="1001"/>
      <c r="C33" s="1001"/>
      <c r="D33" s="1001"/>
      <c r="E33" s="1001"/>
      <c r="F33" s="1001"/>
      <c r="G33" s="1001"/>
      <c r="H33" s="410">
        <f>H31+H32</f>
        <v>0.15131696857142857</v>
      </c>
      <c r="I33" s="407">
        <f t="shared" ref="I33" si="4">TRUNC(I31+I32,2)</f>
        <v>238.65</v>
      </c>
    </row>
    <row r="34" spans="1:221" ht="25.2" customHeight="1">
      <c r="A34" s="1081" t="s">
        <v>382</v>
      </c>
      <c r="B34" s="1082"/>
      <c r="C34" s="1082"/>
      <c r="D34" s="1082"/>
      <c r="E34" s="1082"/>
      <c r="F34" s="1082"/>
      <c r="G34" s="1082"/>
      <c r="H34" s="1082"/>
      <c r="I34" s="1092"/>
    </row>
    <row r="35" spans="1:221" ht="19.95" customHeight="1">
      <c r="A35" s="251" t="s">
        <v>282</v>
      </c>
      <c r="B35" s="1060" t="s">
        <v>288</v>
      </c>
      <c r="C35" s="1060"/>
      <c r="D35" s="1060"/>
      <c r="E35" s="1060"/>
      <c r="F35" s="1060"/>
      <c r="G35" s="1060"/>
      <c r="H35" s="462" t="s">
        <v>59</v>
      </c>
      <c r="I35" s="418" t="s">
        <v>60</v>
      </c>
    </row>
    <row r="36" spans="1:221" ht="20.100000000000001" customHeight="1">
      <c r="A36" s="226" t="s">
        <v>38</v>
      </c>
      <c r="B36" s="988" t="s">
        <v>78</v>
      </c>
      <c r="C36" s="988"/>
      <c r="D36" s="988"/>
      <c r="E36" s="988"/>
      <c r="F36" s="988"/>
      <c r="G36" s="988"/>
      <c r="H36" s="396">
        <v>0.2</v>
      </c>
      <c r="I36" s="406">
        <f t="shared" ref="I36:I43" si="5">ROUND($I$25*H36,2)</f>
        <v>315.43</v>
      </c>
    </row>
    <row r="37" spans="1:221" ht="20.100000000000001" customHeight="1">
      <c r="A37" s="226" t="s">
        <v>40</v>
      </c>
      <c r="B37" s="988" t="s">
        <v>80</v>
      </c>
      <c r="C37" s="988"/>
      <c r="D37" s="988"/>
      <c r="E37" s="988"/>
      <c r="F37" s="988"/>
      <c r="G37" s="988"/>
      <c r="H37" s="396">
        <v>2.5000000000000001E-2</v>
      </c>
      <c r="I37" s="406">
        <f t="shared" si="5"/>
        <v>39.43</v>
      </c>
    </row>
    <row r="38" spans="1:221" ht="22.2" customHeight="1">
      <c r="A38" s="226" t="s">
        <v>42</v>
      </c>
      <c r="B38" s="988" t="s">
        <v>323</v>
      </c>
      <c r="C38" s="988"/>
      <c r="D38" s="988"/>
      <c r="E38" s="988"/>
      <c r="F38" s="988"/>
      <c r="G38" s="988"/>
      <c r="H38" s="397">
        <v>0</v>
      </c>
      <c r="I38" s="406">
        <f t="shared" si="5"/>
        <v>0</v>
      </c>
    </row>
    <row r="39" spans="1:221" ht="21.75" customHeight="1">
      <c r="A39" s="226" t="s">
        <v>44</v>
      </c>
      <c r="B39" s="988" t="s">
        <v>287</v>
      </c>
      <c r="C39" s="988"/>
      <c r="D39" s="988"/>
      <c r="E39" s="988"/>
      <c r="F39" s="988"/>
      <c r="G39" s="988"/>
      <c r="H39" s="396">
        <v>1.4999999999999999E-2</v>
      </c>
      <c r="I39" s="406">
        <f t="shared" si="5"/>
        <v>23.66</v>
      </c>
    </row>
    <row r="40" spans="1:221" ht="20.100000000000001" customHeight="1">
      <c r="A40" s="226" t="s">
        <v>27</v>
      </c>
      <c r="B40" s="988" t="s">
        <v>286</v>
      </c>
      <c r="C40" s="988"/>
      <c r="D40" s="988"/>
      <c r="E40" s="988"/>
      <c r="F40" s="988"/>
      <c r="G40" s="988"/>
      <c r="H40" s="396">
        <v>0.01</v>
      </c>
      <c r="I40" s="406">
        <f t="shared" si="5"/>
        <v>15.77</v>
      </c>
    </row>
    <row r="41" spans="1:221" ht="20.100000000000001" customHeight="1">
      <c r="A41" s="226" t="s">
        <v>67</v>
      </c>
      <c r="B41" s="988" t="s">
        <v>83</v>
      </c>
      <c r="C41" s="988"/>
      <c r="D41" s="988"/>
      <c r="E41" s="988"/>
      <c r="F41" s="988"/>
      <c r="G41" s="988"/>
      <c r="H41" s="396">
        <v>6.0000000000000001E-3</v>
      </c>
      <c r="I41" s="406">
        <f t="shared" si="5"/>
        <v>9.4600000000000009</v>
      </c>
    </row>
    <row r="42" spans="1:221" ht="20.100000000000001" customHeight="1">
      <c r="A42" s="226" t="s">
        <v>82</v>
      </c>
      <c r="B42" s="988" t="s">
        <v>79</v>
      </c>
      <c r="C42" s="988"/>
      <c r="D42" s="988"/>
      <c r="E42" s="988"/>
      <c r="F42" s="988"/>
      <c r="G42" s="988"/>
      <c r="H42" s="396">
        <v>2E-3</v>
      </c>
      <c r="I42" s="406">
        <f t="shared" si="5"/>
        <v>3.15</v>
      </c>
    </row>
    <row r="43" spans="1:221" ht="20.100000000000001" customHeight="1">
      <c r="A43" s="226" t="s">
        <v>61</v>
      </c>
      <c r="B43" s="988" t="s">
        <v>81</v>
      </c>
      <c r="C43" s="988"/>
      <c r="D43" s="988"/>
      <c r="E43" s="988"/>
      <c r="F43" s="988"/>
      <c r="G43" s="988"/>
      <c r="H43" s="396">
        <v>0.08</v>
      </c>
      <c r="I43" s="406">
        <f t="shared" si="5"/>
        <v>126.17</v>
      </c>
    </row>
    <row r="44" spans="1:221" ht="20.100000000000001" customHeight="1">
      <c r="A44" s="1001" t="s">
        <v>84</v>
      </c>
      <c r="B44" s="1001"/>
      <c r="C44" s="1001"/>
      <c r="D44" s="1001"/>
      <c r="E44" s="1001"/>
      <c r="F44" s="1001"/>
      <c r="G44" s="1001"/>
      <c r="H44" s="398">
        <f t="shared" ref="H44:I44" si="6">SUM(H36:H43)</f>
        <v>0.33800000000000002</v>
      </c>
      <c r="I44" s="407">
        <f t="shared" si="6"/>
        <v>533.06999999999994</v>
      </c>
    </row>
    <row r="45" spans="1:221" s="187" customFormat="1" ht="20.100000000000001" customHeight="1">
      <c r="A45" s="1084" t="s">
        <v>381</v>
      </c>
      <c r="B45" s="1085"/>
      <c r="C45" s="1085"/>
      <c r="D45" s="1085"/>
      <c r="E45" s="1085"/>
      <c r="F45" s="1085"/>
      <c r="G45" s="1085"/>
      <c r="H45" s="1085"/>
      <c r="I45" s="1103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  <c r="AY45" s="186"/>
      <c r="AZ45" s="186"/>
      <c r="BA45" s="186"/>
      <c r="BB45" s="186"/>
      <c r="BC45" s="186"/>
      <c r="BD45" s="186"/>
      <c r="BE45" s="186"/>
      <c r="BF45" s="186"/>
      <c r="BG45" s="186"/>
      <c r="BH45" s="186"/>
      <c r="BI45" s="186"/>
      <c r="BJ45" s="186"/>
      <c r="BK45" s="186"/>
      <c r="BL45" s="186"/>
      <c r="BM45" s="186"/>
      <c r="BN45" s="186"/>
      <c r="BO45" s="186"/>
      <c r="BP45" s="186"/>
      <c r="BQ45" s="186"/>
      <c r="BR45" s="186"/>
      <c r="BS45" s="186"/>
      <c r="BT45" s="186"/>
      <c r="BU45" s="186"/>
      <c r="BV45" s="186"/>
      <c r="BW45" s="186"/>
      <c r="BX45" s="186"/>
      <c r="BY45" s="186"/>
      <c r="BZ45" s="186"/>
      <c r="CA45" s="186"/>
      <c r="CB45" s="186"/>
      <c r="CC45" s="186"/>
      <c r="CD45" s="186"/>
      <c r="CE45" s="186"/>
      <c r="CF45" s="186"/>
      <c r="CG45" s="186"/>
      <c r="CH45" s="186"/>
      <c r="CI45" s="186"/>
      <c r="CJ45" s="186"/>
      <c r="CK45" s="186"/>
      <c r="CL45" s="186"/>
      <c r="CM45" s="186"/>
      <c r="CN45" s="186"/>
      <c r="CO45" s="186"/>
      <c r="CP45" s="186"/>
      <c r="CQ45" s="186"/>
      <c r="CR45" s="186"/>
      <c r="CS45" s="186"/>
      <c r="CT45" s="186"/>
      <c r="CU45" s="186"/>
      <c r="CV45" s="186"/>
      <c r="CW45" s="186"/>
      <c r="CX45" s="186"/>
      <c r="CY45" s="186"/>
      <c r="CZ45" s="186"/>
      <c r="DA45" s="186"/>
      <c r="DB45" s="186"/>
      <c r="DC45" s="186"/>
      <c r="DD45" s="186"/>
      <c r="DE45" s="186"/>
      <c r="DF45" s="186"/>
      <c r="DG45" s="186"/>
      <c r="DH45" s="186"/>
      <c r="DI45" s="186"/>
      <c r="DJ45" s="186"/>
      <c r="DK45" s="186"/>
      <c r="DL45" s="186"/>
      <c r="DM45" s="186"/>
      <c r="DN45" s="186"/>
      <c r="DO45" s="186"/>
      <c r="DP45" s="186"/>
      <c r="DQ45" s="186"/>
      <c r="DR45" s="186"/>
      <c r="DS45" s="186"/>
      <c r="DT45" s="186"/>
      <c r="DU45" s="186"/>
      <c r="DV45" s="186"/>
      <c r="DW45" s="186"/>
      <c r="DX45" s="186"/>
      <c r="DY45" s="186"/>
      <c r="DZ45" s="186"/>
      <c r="EA45" s="186"/>
      <c r="EB45" s="186"/>
      <c r="EC45" s="186"/>
      <c r="ED45" s="186"/>
      <c r="EE45" s="186"/>
      <c r="EF45" s="186"/>
      <c r="EG45" s="186"/>
      <c r="EH45" s="186"/>
      <c r="EI45" s="186"/>
      <c r="EJ45" s="186"/>
      <c r="EK45" s="186"/>
      <c r="EL45" s="186"/>
      <c r="EM45" s="186"/>
      <c r="EN45" s="186"/>
      <c r="EO45" s="186"/>
      <c r="EP45" s="186"/>
      <c r="EQ45" s="186"/>
      <c r="ER45" s="186"/>
      <c r="ES45" s="186"/>
      <c r="ET45" s="186"/>
      <c r="EU45" s="186"/>
      <c r="EV45" s="186"/>
      <c r="EW45" s="186"/>
      <c r="EX45" s="186"/>
      <c r="EY45" s="186"/>
      <c r="EZ45" s="186"/>
      <c r="FA45" s="186"/>
      <c r="FB45" s="186"/>
      <c r="FC45" s="186"/>
      <c r="FD45" s="186"/>
      <c r="FE45" s="186"/>
      <c r="FF45" s="186"/>
      <c r="FG45" s="186"/>
      <c r="FH45" s="186"/>
      <c r="FI45" s="186"/>
      <c r="FJ45" s="186"/>
      <c r="FK45" s="186"/>
      <c r="FL45" s="186"/>
      <c r="FM45" s="186"/>
      <c r="FN45" s="186"/>
      <c r="FO45" s="186"/>
      <c r="FP45" s="186"/>
      <c r="FQ45" s="186"/>
      <c r="FR45" s="186"/>
      <c r="FS45" s="186"/>
      <c r="FT45" s="186"/>
      <c r="FU45" s="186"/>
      <c r="FV45" s="186"/>
      <c r="FW45" s="186"/>
      <c r="FX45" s="186"/>
      <c r="FY45" s="186"/>
      <c r="FZ45" s="186"/>
      <c r="GA45" s="186"/>
      <c r="GB45" s="186"/>
      <c r="GC45" s="186"/>
      <c r="GD45" s="186"/>
      <c r="GE45" s="186"/>
      <c r="GF45" s="186"/>
      <c r="GG45" s="186"/>
      <c r="GH45" s="186"/>
      <c r="GI45" s="186"/>
      <c r="GJ45" s="186"/>
      <c r="GK45" s="186"/>
      <c r="GL45" s="186"/>
      <c r="GM45" s="186"/>
      <c r="GN45" s="186"/>
      <c r="GO45" s="186"/>
      <c r="GP45" s="186"/>
      <c r="GQ45" s="186"/>
      <c r="GR45" s="186"/>
      <c r="GS45" s="186"/>
      <c r="GT45" s="186"/>
      <c r="GU45" s="186"/>
      <c r="GV45" s="186"/>
      <c r="GW45" s="186"/>
      <c r="GX45" s="186"/>
      <c r="GY45" s="186"/>
      <c r="GZ45" s="186"/>
      <c r="HA45" s="186"/>
      <c r="HB45" s="186"/>
      <c r="HC45" s="186"/>
      <c r="HD45" s="186"/>
      <c r="HE45" s="186"/>
      <c r="HF45" s="186"/>
      <c r="HG45" s="186"/>
      <c r="HH45" s="186"/>
      <c r="HI45" s="186"/>
      <c r="HJ45" s="186"/>
      <c r="HK45" s="186"/>
      <c r="HL45" s="186"/>
      <c r="HM45" s="186"/>
    </row>
    <row r="46" spans="1:221" ht="20.100000000000001" customHeight="1">
      <c r="A46" s="250" t="s">
        <v>280</v>
      </c>
      <c r="B46" s="985" t="s">
        <v>64</v>
      </c>
      <c r="C46" s="985"/>
      <c r="D46" s="985"/>
      <c r="E46" s="985"/>
      <c r="F46" s="985"/>
      <c r="G46" s="985"/>
      <c r="H46" s="1096"/>
      <c r="I46" s="418" t="s">
        <v>60</v>
      </c>
    </row>
    <row r="47" spans="1:221" s="227" customFormat="1" ht="25.5" customHeight="1">
      <c r="A47" s="255" t="s">
        <v>38</v>
      </c>
      <c r="B47" s="988" t="s">
        <v>403</v>
      </c>
      <c r="C47" s="1000"/>
      <c r="D47" s="1000"/>
      <c r="E47" s="1000"/>
      <c r="F47" s="1000"/>
      <c r="G47" s="1000"/>
      <c r="H47" s="1061"/>
      <c r="I47" s="406">
        <v>90</v>
      </c>
      <c r="J47" s="1015"/>
      <c r="K47" s="1015"/>
      <c r="L47" s="1015"/>
      <c r="M47" s="1015"/>
      <c r="N47" s="1015"/>
      <c r="U47" s="1015"/>
      <c r="V47" s="1015"/>
      <c r="W47" s="1015"/>
      <c r="X47" s="1015"/>
      <c r="Y47" s="1015"/>
      <c r="Z47" s="1015"/>
      <c r="AA47" s="1015"/>
      <c r="AB47" s="1015"/>
      <c r="AC47" s="1015"/>
      <c r="AD47" s="1015"/>
      <c r="AE47" s="1015"/>
      <c r="AF47" s="1015"/>
      <c r="AG47" s="1015"/>
      <c r="AH47" s="1015"/>
      <c r="AI47" s="1015"/>
      <c r="AJ47" s="1015"/>
      <c r="AK47" s="1015"/>
      <c r="AL47" s="1015"/>
      <c r="AM47" s="1015"/>
      <c r="AN47" s="1015"/>
      <c r="AO47" s="1015"/>
      <c r="AP47" s="1015"/>
      <c r="AQ47" s="1015"/>
      <c r="AR47" s="1015"/>
      <c r="AS47" s="1015"/>
      <c r="AT47" s="1015"/>
      <c r="AU47" s="1015"/>
      <c r="AV47" s="1015"/>
      <c r="AW47" s="1015"/>
      <c r="AX47" s="1015"/>
      <c r="AY47" s="1015"/>
      <c r="AZ47" s="1015"/>
      <c r="BA47" s="1015"/>
      <c r="BB47" s="1015"/>
      <c r="BC47" s="1015"/>
      <c r="BD47" s="1015"/>
      <c r="BE47" s="1015"/>
      <c r="BF47" s="1015"/>
      <c r="BG47" s="1015"/>
      <c r="BH47" s="1015"/>
      <c r="BI47" s="1015"/>
      <c r="BJ47" s="1015"/>
      <c r="BK47" s="1015"/>
      <c r="BL47" s="1015"/>
      <c r="BM47" s="1015"/>
      <c r="BN47" s="1015"/>
      <c r="BO47" s="1015"/>
      <c r="BP47" s="1015"/>
      <c r="BQ47" s="1015"/>
      <c r="BR47" s="1015"/>
      <c r="BS47" s="1015"/>
      <c r="BT47" s="1015"/>
      <c r="BU47" s="1015"/>
      <c r="BV47" s="1015"/>
      <c r="BW47" s="1015"/>
      <c r="BX47" s="1015"/>
      <c r="BY47" s="1015"/>
      <c r="BZ47" s="1015"/>
      <c r="CA47" s="1015"/>
      <c r="CB47" s="1015"/>
      <c r="CC47" s="1015"/>
      <c r="CD47" s="1015"/>
      <c r="CE47" s="1015"/>
      <c r="CF47" s="1015"/>
      <c r="CG47" s="1015"/>
      <c r="CH47" s="1015"/>
      <c r="CI47" s="1015"/>
      <c r="CJ47" s="1015"/>
      <c r="CK47" s="1015"/>
      <c r="CL47" s="1015"/>
      <c r="CM47" s="1015"/>
      <c r="CN47" s="1015"/>
      <c r="CO47" s="1015"/>
      <c r="CP47" s="1015"/>
      <c r="CQ47" s="1015"/>
      <c r="CR47" s="1015"/>
      <c r="CS47" s="1015"/>
      <c r="CT47" s="1015"/>
      <c r="CU47" s="1015"/>
      <c r="CV47" s="1015"/>
      <c r="CW47" s="1015"/>
      <c r="CX47" s="1015"/>
      <c r="CY47" s="1015"/>
      <c r="CZ47" s="1015"/>
      <c r="DA47" s="1015"/>
      <c r="DB47" s="1015"/>
      <c r="DC47" s="1015"/>
      <c r="DD47" s="1015"/>
      <c r="DE47" s="1015"/>
      <c r="DF47" s="1015"/>
      <c r="DG47" s="1015"/>
      <c r="DH47" s="1015"/>
      <c r="DI47" s="1015"/>
      <c r="DJ47" s="1015"/>
      <c r="DK47" s="1015"/>
      <c r="DL47" s="1015"/>
      <c r="DM47" s="1015"/>
      <c r="DN47" s="1015"/>
      <c r="DO47" s="1015"/>
      <c r="DP47" s="1015"/>
      <c r="DQ47" s="1015"/>
      <c r="DR47" s="1015"/>
      <c r="DS47" s="1015"/>
      <c r="DT47" s="1015"/>
      <c r="DU47" s="1015"/>
      <c r="DV47" s="1015"/>
      <c r="DW47" s="1015"/>
      <c r="DX47" s="1015"/>
      <c r="DY47" s="1015"/>
      <c r="DZ47" s="1015"/>
      <c r="EA47" s="1015"/>
      <c r="EB47" s="1015"/>
      <c r="EC47" s="1015"/>
      <c r="ED47" s="1015"/>
      <c r="EE47" s="1015"/>
      <c r="EF47" s="1015"/>
      <c r="EG47" s="1015"/>
      <c r="EH47" s="1015"/>
      <c r="EI47" s="1015"/>
      <c r="EJ47" s="1015"/>
      <c r="EK47" s="1015"/>
      <c r="EL47" s="1015"/>
      <c r="EM47" s="1015"/>
      <c r="EN47" s="1015"/>
      <c r="EO47" s="1015"/>
      <c r="EP47" s="1015"/>
      <c r="EQ47" s="1015"/>
      <c r="ER47" s="1015"/>
      <c r="ES47" s="1015"/>
      <c r="ET47" s="1015"/>
      <c r="EU47" s="1015"/>
      <c r="EV47" s="1015"/>
      <c r="EW47" s="1015"/>
      <c r="EX47" s="1015"/>
      <c r="EY47" s="1015"/>
      <c r="EZ47" s="1015"/>
      <c r="FA47" s="1015"/>
      <c r="FB47" s="1015"/>
      <c r="FC47" s="1015"/>
      <c r="FD47" s="1015"/>
      <c r="FE47" s="1015"/>
      <c r="FF47" s="1015"/>
      <c r="FG47" s="1015"/>
      <c r="FH47" s="1015"/>
      <c r="FI47" s="1015"/>
      <c r="FJ47" s="1015"/>
      <c r="FK47" s="1015"/>
      <c r="FL47" s="1015"/>
      <c r="FM47" s="1015"/>
      <c r="FN47" s="1015"/>
      <c r="FO47" s="1015"/>
      <c r="FP47" s="1015"/>
      <c r="FQ47" s="1015"/>
      <c r="FR47" s="1015"/>
      <c r="FS47" s="1015"/>
      <c r="FT47" s="1015"/>
      <c r="FU47" s="1015"/>
      <c r="FV47" s="1015"/>
      <c r="FW47" s="1015"/>
      <c r="FX47" s="1015"/>
      <c r="FY47" s="1015"/>
      <c r="FZ47" s="1015"/>
      <c r="GA47" s="1015"/>
      <c r="GB47" s="1015"/>
      <c r="GC47" s="1015"/>
      <c r="GD47" s="1015"/>
      <c r="GE47" s="1015"/>
      <c r="GF47" s="1015"/>
      <c r="GG47" s="1015"/>
      <c r="GH47" s="1015"/>
      <c r="GI47" s="1015"/>
      <c r="GJ47" s="1015"/>
      <c r="GK47" s="1015"/>
      <c r="GL47" s="1015"/>
      <c r="GM47" s="1015"/>
      <c r="GN47" s="1015"/>
      <c r="GO47" s="1015"/>
      <c r="GP47" s="1015"/>
      <c r="GQ47" s="1015"/>
      <c r="GR47" s="1015"/>
      <c r="GS47" s="1015"/>
      <c r="GT47" s="1015"/>
      <c r="GU47" s="1015"/>
      <c r="GV47" s="1015"/>
      <c r="GW47" s="1015"/>
      <c r="GX47" s="1015"/>
      <c r="GY47" s="1015"/>
      <c r="GZ47" s="1015"/>
      <c r="HA47" s="1015"/>
      <c r="HB47" s="1015"/>
      <c r="HC47" s="1015"/>
      <c r="HD47" s="1015"/>
    </row>
    <row r="48" spans="1:221" s="184" customFormat="1" ht="23.25" customHeight="1">
      <c r="A48" s="226" t="s">
        <v>40</v>
      </c>
      <c r="B48" s="1016" t="s">
        <v>461</v>
      </c>
      <c r="C48" s="1017"/>
      <c r="D48" s="1017"/>
      <c r="E48" s="1017"/>
      <c r="F48" s="1018"/>
      <c r="G48" s="391">
        <v>360</v>
      </c>
      <c r="H48" s="402">
        <f>G48*0.99%</f>
        <v>3.5639999999999996</v>
      </c>
      <c r="I48" s="406">
        <f>ROUND(G48-H48,2)</f>
        <v>356.44</v>
      </c>
    </row>
    <row r="49" spans="1:9" s="184" customFormat="1" ht="20.399999999999999" customHeight="1">
      <c r="A49" s="226" t="s">
        <v>42</v>
      </c>
      <c r="B49" s="988" t="s">
        <v>65</v>
      </c>
      <c r="C49" s="988"/>
      <c r="D49" s="988"/>
      <c r="E49" s="988"/>
      <c r="F49" s="988"/>
      <c r="G49" s="988"/>
      <c r="H49" s="989"/>
      <c r="I49" s="406"/>
    </row>
    <row r="50" spans="1:9" s="184" customFormat="1" ht="21" customHeight="1">
      <c r="A50" s="226" t="s">
        <v>44</v>
      </c>
      <c r="B50" s="988" t="s">
        <v>66</v>
      </c>
      <c r="C50" s="988"/>
      <c r="D50" s="988"/>
      <c r="E50" s="988"/>
      <c r="F50" s="988"/>
      <c r="G50" s="988"/>
      <c r="H50" s="989"/>
      <c r="I50" s="406"/>
    </row>
    <row r="51" spans="1:9" s="184" customFormat="1" ht="20.100000000000001" customHeight="1">
      <c r="A51" s="226" t="s">
        <v>27</v>
      </c>
      <c r="B51" s="988" t="s">
        <v>324</v>
      </c>
      <c r="C51" s="988"/>
      <c r="D51" s="988"/>
      <c r="E51" s="988"/>
      <c r="F51" s="988"/>
      <c r="G51" s="988"/>
      <c r="H51" s="989"/>
      <c r="I51" s="406"/>
    </row>
    <row r="52" spans="1:9" s="184" customFormat="1" ht="20.100000000000001" customHeight="1">
      <c r="A52" s="226" t="s">
        <v>67</v>
      </c>
      <c r="B52" s="988" t="s">
        <v>62</v>
      </c>
      <c r="C52" s="988"/>
      <c r="D52" s="988"/>
      <c r="E52" s="988"/>
      <c r="F52" s="988"/>
      <c r="G52" s="988"/>
      <c r="H52" s="989"/>
      <c r="I52" s="406"/>
    </row>
    <row r="53" spans="1:9" s="191" customFormat="1" ht="20.100000000000001" customHeight="1">
      <c r="A53" s="190"/>
      <c r="B53" s="1001" t="s">
        <v>68</v>
      </c>
      <c r="C53" s="1001"/>
      <c r="D53" s="1001"/>
      <c r="E53" s="1001"/>
      <c r="F53" s="1001"/>
      <c r="G53" s="1001"/>
      <c r="H53" s="1007"/>
      <c r="I53" s="407">
        <f t="shared" ref="I53" si="7">SUM(I47:I52)</f>
        <v>446.44</v>
      </c>
    </row>
    <row r="54" spans="1:9" s="184" customFormat="1" ht="20.100000000000001" hidden="1" customHeight="1">
      <c r="A54" s="1072"/>
      <c r="B54" s="1072"/>
      <c r="C54" s="1072"/>
      <c r="D54" s="1072"/>
      <c r="E54" s="1072"/>
      <c r="F54" s="1072"/>
      <c r="G54" s="1072"/>
      <c r="H54" s="1072"/>
      <c r="I54" s="1073"/>
    </row>
    <row r="55" spans="1:9" s="184" customFormat="1" ht="30" hidden="1" customHeight="1">
      <c r="A55" s="1050" t="s">
        <v>69</v>
      </c>
      <c r="B55" s="1050"/>
      <c r="C55" s="1050"/>
      <c r="D55" s="1050"/>
      <c r="E55" s="1050"/>
      <c r="F55" s="1050"/>
      <c r="G55" s="1050"/>
      <c r="H55" s="1050"/>
      <c r="I55" s="1050"/>
    </row>
    <row r="56" spans="1:9" s="184" customFormat="1" ht="20.100000000000001" customHeight="1">
      <c r="A56" s="1087" t="s">
        <v>285</v>
      </c>
      <c r="B56" s="1088"/>
      <c r="C56" s="1088"/>
      <c r="D56" s="1088"/>
      <c r="E56" s="1088"/>
      <c r="F56" s="1088"/>
      <c r="G56" s="1088"/>
      <c r="H56" s="1088"/>
      <c r="I56" s="1094"/>
    </row>
    <row r="57" spans="1:9" s="184" customFormat="1" ht="20.100000000000001" customHeight="1">
      <c r="A57" s="253">
        <v>2</v>
      </c>
      <c r="B57" s="1019" t="s">
        <v>284</v>
      </c>
      <c r="C57" s="1019"/>
      <c r="D57" s="1019"/>
      <c r="E57" s="1019"/>
      <c r="F57" s="1019"/>
      <c r="G57" s="1019"/>
      <c r="H57" s="457" t="s">
        <v>59</v>
      </c>
      <c r="I57" s="463" t="s">
        <v>60</v>
      </c>
    </row>
    <row r="58" spans="1:9" s="184" customFormat="1" ht="20.100000000000001" customHeight="1">
      <c r="A58" s="217" t="s">
        <v>8</v>
      </c>
      <c r="B58" s="1020" t="s">
        <v>283</v>
      </c>
      <c r="C58" s="1020"/>
      <c r="D58" s="1020"/>
      <c r="E58" s="1020"/>
      <c r="F58" s="1020"/>
      <c r="G58" s="1020"/>
      <c r="H58" s="434">
        <f>H31</f>
        <v>0.11309190476190477</v>
      </c>
      <c r="I58" s="442">
        <f t="shared" ref="I58" si="8">I33</f>
        <v>238.65</v>
      </c>
    </row>
    <row r="59" spans="1:9" s="184" customFormat="1" ht="20.100000000000001" customHeight="1">
      <c r="A59" s="217" t="s">
        <v>282</v>
      </c>
      <c r="B59" s="1020" t="s">
        <v>281</v>
      </c>
      <c r="C59" s="1020"/>
      <c r="D59" s="1020"/>
      <c r="E59" s="1020"/>
      <c r="F59" s="1020"/>
      <c r="G59" s="1020"/>
      <c r="H59" s="434">
        <f t="shared" ref="H59:I59" si="9">H44</f>
        <v>0.33800000000000002</v>
      </c>
      <c r="I59" s="442">
        <f t="shared" si="9"/>
        <v>533.06999999999994</v>
      </c>
    </row>
    <row r="60" spans="1:9" s="184" customFormat="1" ht="20.100000000000001" customHeight="1">
      <c r="A60" s="217" t="s">
        <v>280</v>
      </c>
      <c r="B60" s="1020" t="s">
        <v>279</v>
      </c>
      <c r="C60" s="1020"/>
      <c r="D60" s="1020"/>
      <c r="E60" s="1020"/>
      <c r="F60" s="1020"/>
      <c r="G60" s="1020"/>
      <c r="H60" s="440" t="s">
        <v>89</v>
      </c>
      <c r="I60" s="442">
        <f t="shared" ref="I60" si="10">I53</f>
        <v>446.44</v>
      </c>
    </row>
    <row r="61" spans="1:9" s="184" customFormat="1" ht="20.100000000000001" customHeight="1">
      <c r="A61" s="1021" t="s">
        <v>84</v>
      </c>
      <c r="B61" s="1021"/>
      <c r="C61" s="1021"/>
      <c r="D61" s="1021"/>
      <c r="E61" s="1021"/>
      <c r="F61" s="1021"/>
      <c r="G61" s="1021"/>
      <c r="H61" s="434">
        <f>H58+H59</f>
        <v>0.45109190476190481</v>
      </c>
      <c r="I61" s="442">
        <f t="shared" ref="I61" si="11">SUM(I58:I60)</f>
        <v>1218.1599999999999</v>
      </c>
    </row>
    <row r="62" spans="1:9" s="184" customFormat="1" ht="21" customHeight="1">
      <c r="A62" s="1067" t="s">
        <v>278</v>
      </c>
      <c r="B62" s="1068"/>
      <c r="C62" s="1068"/>
      <c r="D62" s="1068"/>
      <c r="E62" s="1068"/>
      <c r="F62" s="1068"/>
      <c r="G62" s="1068"/>
      <c r="H62" s="1068"/>
      <c r="I62" s="1095"/>
    </row>
    <row r="63" spans="1:9" s="184" customFormat="1" ht="20.100000000000001" customHeight="1">
      <c r="A63" s="250">
        <v>3</v>
      </c>
      <c r="B63" s="985" t="s">
        <v>86</v>
      </c>
      <c r="C63" s="985"/>
      <c r="D63" s="985"/>
      <c r="E63" s="985"/>
      <c r="F63" s="985"/>
      <c r="G63" s="985"/>
      <c r="H63" s="1096"/>
      <c r="I63" s="418" t="s">
        <v>60</v>
      </c>
    </row>
    <row r="64" spans="1:9" s="184" customFormat="1" ht="20.100000000000001" customHeight="1">
      <c r="A64" s="226" t="s">
        <v>38</v>
      </c>
      <c r="B64" s="988" t="s">
        <v>662</v>
      </c>
      <c r="C64" s="988"/>
      <c r="D64" s="988"/>
      <c r="E64" s="988"/>
      <c r="F64" s="988"/>
      <c r="G64" s="988"/>
      <c r="H64" s="409">
        <v>0</v>
      </c>
      <c r="I64" s="406">
        <f>ROUND($I$25*H64,2)</f>
        <v>0</v>
      </c>
    </row>
    <row r="65" spans="1:9" s="184" customFormat="1" ht="20.100000000000001" customHeight="1">
      <c r="A65" s="226" t="s">
        <v>40</v>
      </c>
      <c r="B65" s="988" t="s">
        <v>87</v>
      </c>
      <c r="C65" s="988"/>
      <c r="D65" s="988"/>
      <c r="E65" s="988"/>
      <c r="F65" s="988"/>
      <c r="G65" s="988"/>
      <c r="H65" s="434">
        <f>H43*H64</f>
        <v>0</v>
      </c>
      <c r="I65" s="406">
        <f t="shared" ref="I65" si="12">ROUND($H$43*I64,2)</f>
        <v>0</v>
      </c>
    </row>
    <row r="66" spans="1:9" s="184" customFormat="1" ht="21.6" customHeight="1">
      <c r="A66" s="226" t="s">
        <v>42</v>
      </c>
      <c r="B66" s="1011" t="s">
        <v>376</v>
      </c>
      <c r="C66" s="1011"/>
      <c r="D66" s="1011"/>
      <c r="E66" s="1011"/>
      <c r="F66" s="1011"/>
      <c r="G66" s="1011"/>
      <c r="H66" s="435">
        <f>((8%*50%)*90%)*((1+5/56+5/56+5/168))</f>
        <v>4.3499999999999997E-2</v>
      </c>
      <c r="I66" s="406">
        <f>ROUND($I$25*H66,2)</f>
        <v>68.61</v>
      </c>
    </row>
    <row r="67" spans="1:9" s="184" customFormat="1" ht="21.6" customHeight="1">
      <c r="A67" s="226" t="s">
        <v>44</v>
      </c>
      <c r="B67" s="1011" t="s">
        <v>377</v>
      </c>
      <c r="C67" s="1011"/>
      <c r="D67" s="1011"/>
      <c r="E67" s="1011"/>
      <c r="F67" s="1011"/>
      <c r="G67" s="1011"/>
      <c r="H67" s="435">
        <f>(7/30)/12</f>
        <v>1.9444444444444445E-2</v>
      </c>
      <c r="I67" s="406">
        <f>ROUND($I$25*H67,2)</f>
        <v>30.67</v>
      </c>
    </row>
    <row r="68" spans="1:9" s="184" customFormat="1" ht="19.2" customHeight="1">
      <c r="A68" s="226" t="s">
        <v>27</v>
      </c>
      <c r="B68" s="1011" t="s">
        <v>277</v>
      </c>
      <c r="C68" s="1011"/>
      <c r="D68" s="1011"/>
      <c r="E68" s="1011"/>
      <c r="F68" s="1011"/>
      <c r="G68" s="1011"/>
      <c r="H68" s="434">
        <f>H44*H67</f>
        <v>6.5722222222222224E-3</v>
      </c>
      <c r="I68" s="406">
        <f>ROUND($H$44*I67,2)</f>
        <v>10.37</v>
      </c>
    </row>
    <row r="69" spans="1:9" s="184" customFormat="1" ht="28.2" customHeight="1">
      <c r="A69" s="226" t="s">
        <v>67</v>
      </c>
      <c r="B69" s="1011" t="s">
        <v>378</v>
      </c>
      <c r="C69" s="1011"/>
      <c r="D69" s="1011"/>
      <c r="E69" s="1011"/>
      <c r="F69" s="1011"/>
      <c r="G69" s="1011"/>
      <c r="H69" s="435">
        <f>((1*50%*8%*H67)+0.572%)</f>
        <v>6.4977777777777777E-3</v>
      </c>
      <c r="I69" s="406">
        <f>ROUND($I$25*H69,2)</f>
        <v>10.25</v>
      </c>
    </row>
    <row r="70" spans="1:9" s="184" customFormat="1" ht="22.2" customHeight="1">
      <c r="A70" s="1001" t="s">
        <v>84</v>
      </c>
      <c r="B70" s="1001"/>
      <c r="C70" s="1001"/>
      <c r="D70" s="1001"/>
      <c r="E70" s="1001"/>
      <c r="F70" s="1001"/>
      <c r="G70" s="1001"/>
      <c r="H70" s="398">
        <f t="shared" ref="H70:I70" si="13">SUM(H64:H69)</f>
        <v>7.6014444444444454E-2</v>
      </c>
      <c r="I70" s="407">
        <f t="shared" si="13"/>
        <v>119.9</v>
      </c>
    </row>
    <row r="71" spans="1:9" s="184" customFormat="1" ht="20.25" customHeight="1">
      <c r="A71" s="1067" t="s">
        <v>271</v>
      </c>
      <c r="B71" s="1068"/>
      <c r="C71" s="1068"/>
      <c r="D71" s="1068"/>
      <c r="E71" s="1068"/>
      <c r="F71" s="1068"/>
      <c r="G71" s="1068"/>
      <c r="H71" s="1068"/>
      <c r="I71" s="1095"/>
    </row>
    <row r="72" spans="1:9" s="184" customFormat="1" ht="20.100000000000001" customHeight="1">
      <c r="A72" s="250" t="s">
        <v>77</v>
      </c>
      <c r="B72" s="985" t="s">
        <v>634</v>
      </c>
      <c r="C72" s="985"/>
      <c r="D72" s="985"/>
      <c r="E72" s="985"/>
      <c r="F72" s="985"/>
      <c r="G72" s="985"/>
      <c r="H72" s="1096"/>
      <c r="I72" s="418" t="s">
        <v>60</v>
      </c>
    </row>
    <row r="73" spans="1:9" s="184" customFormat="1" ht="20.100000000000001" customHeight="1">
      <c r="A73" s="226" t="s">
        <v>38</v>
      </c>
      <c r="B73" s="1012" t="s">
        <v>660</v>
      </c>
      <c r="C73" s="1013"/>
      <c r="D73" s="1013"/>
      <c r="E73" s="1013"/>
      <c r="F73" s="1013"/>
      <c r="G73" s="1014"/>
      <c r="H73" s="796">
        <v>9.1200000000000003E-2</v>
      </c>
      <c r="I73" s="406">
        <f t="shared" ref="I73:I79" si="14">ROUND($I$25*H73,2)</f>
        <v>143.83000000000001</v>
      </c>
    </row>
    <row r="74" spans="1:9" s="184" customFormat="1" ht="20.100000000000001" customHeight="1">
      <c r="A74" s="226" t="s">
        <v>40</v>
      </c>
      <c r="B74" s="988" t="s">
        <v>628</v>
      </c>
      <c r="C74" s="988"/>
      <c r="D74" s="988"/>
      <c r="E74" s="988"/>
      <c r="F74" s="988"/>
      <c r="G74" s="988"/>
      <c r="H74" s="433">
        <v>0</v>
      </c>
      <c r="I74" s="406">
        <f t="shared" si="14"/>
        <v>0</v>
      </c>
    </row>
    <row r="75" spans="1:9" s="184" customFormat="1" ht="20.100000000000001" customHeight="1">
      <c r="A75" s="226" t="s">
        <v>42</v>
      </c>
      <c r="B75" s="988" t="s">
        <v>629</v>
      </c>
      <c r="C75" s="988"/>
      <c r="D75" s="988"/>
      <c r="E75" s="988"/>
      <c r="F75" s="988"/>
      <c r="G75" s="988"/>
      <c r="H75" s="433">
        <v>0</v>
      </c>
      <c r="I75" s="406">
        <f t="shared" si="14"/>
        <v>0</v>
      </c>
    </row>
    <row r="76" spans="1:9" s="184" customFormat="1" ht="20.100000000000001" customHeight="1">
      <c r="A76" s="226" t="s">
        <v>44</v>
      </c>
      <c r="B76" s="988" t="s">
        <v>630</v>
      </c>
      <c r="C76" s="988"/>
      <c r="D76" s="988"/>
      <c r="E76" s="988"/>
      <c r="F76" s="988"/>
      <c r="G76" s="988"/>
      <c r="H76" s="433">
        <v>0</v>
      </c>
      <c r="I76" s="406">
        <f t="shared" si="14"/>
        <v>0</v>
      </c>
    </row>
    <row r="77" spans="1:9" s="184" customFormat="1" ht="20.100000000000001" customHeight="1">
      <c r="A77" s="226" t="s">
        <v>27</v>
      </c>
      <c r="B77" s="988" t="s">
        <v>631</v>
      </c>
      <c r="C77" s="988"/>
      <c r="D77" s="988"/>
      <c r="E77" s="988"/>
      <c r="F77" s="988"/>
      <c r="G77" s="988"/>
      <c r="H77" s="433">
        <v>0</v>
      </c>
      <c r="I77" s="406">
        <f t="shared" si="14"/>
        <v>0</v>
      </c>
    </row>
    <row r="78" spans="1:9" s="184" customFormat="1" ht="22.5" customHeight="1">
      <c r="A78" s="226" t="s">
        <v>67</v>
      </c>
      <c r="B78" s="988" t="s">
        <v>632</v>
      </c>
      <c r="C78" s="988"/>
      <c r="D78" s="988"/>
      <c r="E78" s="988"/>
      <c r="F78" s="988"/>
      <c r="G78" s="988"/>
      <c r="H78" s="433">
        <v>0</v>
      </c>
      <c r="I78" s="406">
        <f t="shared" si="14"/>
        <v>0</v>
      </c>
    </row>
    <row r="79" spans="1:9" s="184" customFormat="1" ht="20.100000000000001" customHeight="1">
      <c r="A79" s="226" t="s">
        <v>82</v>
      </c>
      <c r="B79" s="988" t="s">
        <v>633</v>
      </c>
      <c r="C79" s="988"/>
      <c r="D79" s="988"/>
      <c r="E79" s="988"/>
      <c r="F79" s="988"/>
      <c r="G79" s="988"/>
      <c r="H79" s="433">
        <v>0</v>
      </c>
      <c r="I79" s="406">
        <f t="shared" si="14"/>
        <v>0</v>
      </c>
    </row>
    <row r="80" spans="1:9" s="184" customFormat="1" ht="20.100000000000001" customHeight="1">
      <c r="A80" s="1001" t="s">
        <v>85</v>
      </c>
      <c r="B80" s="1001"/>
      <c r="C80" s="1001"/>
      <c r="D80" s="1001"/>
      <c r="E80" s="1001"/>
      <c r="F80" s="1001"/>
      <c r="G80" s="1001"/>
      <c r="H80" s="398">
        <f t="shared" ref="H80" si="15">SUM(H73:H79)</f>
        <v>9.1200000000000003E-2</v>
      </c>
      <c r="I80" s="407">
        <f t="shared" ref="I80" si="16">TRUNC(SUM(I73:I79),2)</f>
        <v>143.83000000000001</v>
      </c>
    </row>
    <row r="81" spans="1:9" s="184" customFormat="1" ht="20.100000000000001" customHeight="1">
      <c r="A81" s="226" t="s">
        <v>61</v>
      </c>
      <c r="B81" s="988" t="s">
        <v>276</v>
      </c>
      <c r="C81" s="988"/>
      <c r="D81" s="988"/>
      <c r="E81" s="988"/>
      <c r="F81" s="988"/>
      <c r="G81" s="988"/>
      <c r="H81" s="409">
        <f>H44*H80</f>
        <v>3.0825600000000002E-2</v>
      </c>
      <c r="I81" s="406">
        <f>ROUND(H44*I80,2)</f>
        <v>48.61</v>
      </c>
    </row>
    <row r="82" spans="1:9" s="184" customFormat="1" ht="20.100000000000001" customHeight="1">
      <c r="A82" s="1001" t="s">
        <v>84</v>
      </c>
      <c r="B82" s="1001"/>
      <c r="C82" s="1001"/>
      <c r="D82" s="1001"/>
      <c r="E82" s="1001"/>
      <c r="F82" s="1001"/>
      <c r="G82" s="1001"/>
      <c r="H82" s="398">
        <f>H80+H81</f>
        <v>0.12202560000000001</v>
      </c>
      <c r="I82" s="407">
        <f t="shared" ref="I82" si="17">TRUNC(SUM(I80:I81),2)</f>
        <v>192.44</v>
      </c>
    </row>
    <row r="83" spans="1:9" s="184" customFormat="1" ht="20.100000000000001" customHeight="1">
      <c r="A83" s="1067" t="s">
        <v>275</v>
      </c>
      <c r="B83" s="1068"/>
      <c r="C83" s="1068"/>
      <c r="D83" s="1068"/>
      <c r="E83" s="1068"/>
      <c r="F83" s="1068"/>
      <c r="G83" s="1068"/>
      <c r="H83" s="1068"/>
      <c r="I83" s="1095"/>
    </row>
    <row r="84" spans="1:9" s="184" customFormat="1" ht="18" customHeight="1">
      <c r="A84" s="250">
        <v>5</v>
      </c>
      <c r="B84" s="985" t="s">
        <v>70</v>
      </c>
      <c r="C84" s="985"/>
      <c r="D84" s="985"/>
      <c r="E84" s="985"/>
      <c r="F84" s="985"/>
      <c r="G84" s="985"/>
      <c r="H84" s="1096"/>
      <c r="I84" s="453" t="s">
        <v>60</v>
      </c>
    </row>
    <row r="85" spans="1:9" s="184" customFormat="1" ht="20.100000000000001" customHeight="1">
      <c r="A85" s="226" t="s">
        <v>38</v>
      </c>
      <c r="B85" s="988" t="s">
        <v>71</v>
      </c>
      <c r="C85" s="988"/>
      <c r="D85" s="988"/>
      <c r="E85" s="988"/>
      <c r="F85" s="988"/>
      <c r="G85" s="988"/>
      <c r="H85" s="989"/>
      <c r="I85" s="406">
        <f>Uniforme!I27</f>
        <v>0</v>
      </c>
    </row>
    <row r="86" spans="1:9" s="184" customFormat="1" ht="20.100000000000001" customHeight="1">
      <c r="A86" s="226" t="s">
        <v>40</v>
      </c>
      <c r="B86" s="988" t="s">
        <v>72</v>
      </c>
      <c r="C86" s="988"/>
      <c r="D86" s="988"/>
      <c r="E86" s="988"/>
      <c r="F86" s="988"/>
      <c r="G86" s="988"/>
      <c r="H86" s="989"/>
      <c r="I86" s="406">
        <f>'Mat. Lavador'!J20</f>
        <v>318.53166666666669</v>
      </c>
    </row>
    <row r="87" spans="1:9" s="184" customFormat="1" ht="20.100000000000001" customHeight="1">
      <c r="A87" s="226" t="s">
        <v>42</v>
      </c>
      <c r="B87" s="988" t="s">
        <v>73</v>
      </c>
      <c r="C87" s="988"/>
      <c r="D87" s="988"/>
      <c r="E87" s="988"/>
      <c r="F87" s="988"/>
      <c r="G87" s="988"/>
      <c r="H87" s="989"/>
      <c r="I87" s="406">
        <f>'Eq. Lavador'!J10</f>
        <v>13.553531250000001</v>
      </c>
    </row>
    <row r="88" spans="1:9" s="184" customFormat="1" ht="20.100000000000001" customHeight="1">
      <c r="A88" s="226" t="s">
        <v>44</v>
      </c>
      <c r="B88" s="988" t="s">
        <v>74</v>
      </c>
      <c r="C88" s="988"/>
      <c r="D88" s="988"/>
      <c r="E88" s="988"/>
      <c r="F88" s="988"/>
      <c r="G88" s="988"/>
      <c r="H88" s="989"/>
      <c r="I88" s="406"/>
    </row>
    <row r="89" spans="1:9" s="184" customFormat="1" ht="20.100000000000001" customHeight="1">
      <c r="A89" s="1001" t="s">
        <v>75</v>
      </c>
      <c r="B89" s="1001"/>
      <c r="C89" s="1001"/>
      <c r="D89" s="1001"/>
      <c r="E89" s="1001"/>
      <c r="F89" s="1001"/>
      <c r="G89" s="1001"/>
      <c r="H89" s="1007"/>
      <c r="I89" s="407">
        <f t="shared" ref="I89" si="18">TRUNC(SUM(I85:I88),2)</f>
        <v>332.08</v>
      </c>
    </row>
    <row r="90" spans="1:9" s="184" customFormat="1" ht="20.100000000000001" customHeight="1">
      <c r="A90" s="1072"/>
      <c r="B90" s="1072"/>
      <c r="C90" s="1072"/>
      <c r="D90" s="1072"/>
      <c r="E90" s="1072"/>
      <c r="F90" s="1072"/>
      <c r="G90" s="1072"/>
      <c r="H90" s="1072"/>
      <c r="I90" s="1073"/>
    </row>
    <row r="91" spans="1:9" s="184" customFormat="1" ht="19.5" customHeight="1">
      <c r="A91" s="999" t="s">
        <v>76</v>
      </c>
      <c r="B91" s="999"/>
      <c r="C91" s="999"/>
      <c r="D91" s="999"/>
      <c r="E91" s="999"/>
      <c r="F91" s="999"/>
      <c r="G91" s="999"/>
      <c r="H91" s="999"/>
      <c r="I91" s="999"/>
    </row>
    <row r="92" spans="1:9" s="184" customFormat="1" ht="20.100000000000001" customHeight="1">
      <c r="A92" s="1067" t="s">
        <v>274</v>
      </c>
      <c r="B92" s="1068"/>
      <c r="C92" s="1068"/>
      <c r="D92" s="1068"/>
      <c r="E92" s="1068"/>
      <c r="F92" s="1068"/>
      <c r="G92" s="1068"/>
      <c r="H92" s="1068"/>
      <c r="I92" s="1093"/>
    </row>
    <row r="93" spans="1:9" s="184" customFormat="1" ht="20.100000000000001" customHeight="1">
      <c r="A93" s="250">
        <v>6</v>
      </c>
      <c r="B93" s="985" t="s">
        <v>88</v>
      </c>
      <c r="C93" s="985"/>
      <c r="D93" s="985"/>
      <c r="E93" s="985"/>
      <c r="F93" s="985"/>
      <c r="G93" s="985"/>
      <c r="H93" s="416" t="s">
        <v>59</v>
      </c>
      <c r="I93" s="464" t="s">
        <v>60</v>
      </c>
    </row>
    <row r="94" spans="1:9" s="184" customFormat="1" ht="25.2" customHeight="1">
      <c r="A94" s="226" t="s">
        <v>38</v>
      </c>
      <c r="B94" s="988" t="s">
        <v>90</v>
      </c>
      <c r="C94" s="988"/>
      <c r="D94" s="988"/>
      <c r="E94" s="988"/>
      <c r="F94" s="988"/>
      <c r="G94" s="988"/>
      <c r="H94" s="425">
        <v>0</v>
      </c>
      <c r="I94" s="406">
        <f>ROUND(H94*I111,2)</f>
        <v>0</v>
      </c>
    </row>
    <row r="95" spans="1:9" s="184" customFormat="1" ht="22.95" customHeight="1">
      <c r="A95" s="226" t="s">
        <v>40</v>
      </c>
      <c r="B95" s="988" t="s">
        <v>91</v>
      </c>
      <c r="C95" s="988"/>
      <c r="D95" s="988"/>
      <c r="E95" s="988"/>
      <c r="F95" s="988"/>
      <c r="G95" s="988"/>
      <c r="H95" s="425">
        <v>0</v>
      </c>
      <c r="I95" s="406">
        <f>ROUND((I111+I94)*H95,2)</f>
        <v>0</v>
      </c>
    </row>
    <row r="96" spans="1:9" s="184" customFormat="1" ht="21" customHeight="1">
      <c r="A96" s="955" t="s">
        <v>42</v>
      </c>
      <c r="B96" s="988" t="s">
        <v>92</v>
      </c>
      <c r="C96" s="988"/>
      <c r="D96" s="988"/>
      <c r="E96" s="988"/>
      <c r="F96" s="988"/>
      <c r="G96" s="988"/>
      <c r="H96" s="426">
        <f>SUM(H98:H100)</f>
        <v>0</v>
      </c>
      <c r="I96" s="406">
        <f t="shared" ref="I96" si="19">TRUNC(SUM(I98:I100),2)</f>
        <v>0</v>
      </c>
    </row>
    <row r="97" spans="1:10" s="184" customFormat="1" ht="23.25" customHeight="1">
      <c r="A97" s="955"/>
      <c r="B97" s="988" t="s">
        <v>343</v>
      </c>
      <c r="C97" s="988"/>
      <c r="D97" s="988"/>
      <c r="E97" s="988"/>
      <c r="F97" s="988"/>
      <c r="G97" s="988"/>
      <c r="H97" s="427"/>
      <c r="I97" s="406"/>
    </row>
    <row r="98" spans="1:10" s="184" customFormat="1" ht="20.100000000000001" customHeight="1">
      <c r="A98" s="955"/>
      <c r="B98" s="1000" t="s">
        <v>354</v>
      </c>
      <c r="C98" s="1000"/>
      <c r="D98" s="1000"/>
      <c r="E98" s="1000"/>
      <c r="F98" s="1000"/>
      <c r="G98" s="1000"/>
      <c r="H98" s="428">
        <v>0</v>
      </c>
      <c r="I98" s="406">
        <f>ROUND(I113*H98,2)</f>
        <v>0</v>
      </c>
    </row>
    <row r="99" spans="1:10" s="184" customFormat="1" ht="27.75" customHeight="1">
      <c r="A99" s="955"/>
      <c r="B99" s="1000" t="s">
        <v>353</v>
      </c>
      <c r="C99" s="1000"/>
      <c r="D99" s="1000"/>
      <c r="E99" s="1000"/>
      <c r="F99" s="1000"/>
      <c r="G99" s="1000"/>
      <c r="H99" s="428">
        <v>0</v>
      </c>
      <c r="I99" s="406">
        <f>ROUND(I113*H99,2)</f>
        <v>0</v>
      </c>
    </row>
    <row r="100" spans="1:10" s="184" customFormat="1" ht="20.100000000000001" customHeight="1">
      <c r="A100" s="955"/>
      <c r="B100" s="988" t="s">
        <v>352</v>
      </c>
      <c r="C100" s="1000"/>
      <c r="D100" s="1000"/>
      <c r="E100" s="1000"/>
      <c r="F100" s="1000"/>
      <c r="G100" s="1000"/>
      <c r="H100" s="428">
        <v>0</v>
      </c>
      <c r="I100" s="406">
        <f>ROUND(I113*H100,2)</f>
        <v>0</v>
      </c>
    </row>
    <row r="101" spans="1:10" s="184" customFormat="1" ht="20.100000000000001" customHeight="1">
      <c r="A101" s="1339"/>
      <c r="B101" s="988" t="s">
        <v>675</v>
      </c>
      <c r="C101" s="1000"/>
      <c r="D101" s="1000"/>
      <c r="E101" s="1000"/>
      <c r="F101" s="1000"/>
      <c r="G101" s="1000"/>
      <c r="H101" s="428">
        <v>0</v>
      </c>
      <c r="I101" s="406">
        <f>ROUND(I113*H101,2)</f>
        <v>0</v>
      </c>
      <c r="J101"/>
    </row>
    <row r="102" spans="1:10" s="184" customFormat="1" ht="20.100000000000001" customHeight="1">
      <c r="A102" s="1001" t="s">
        <v>344</v>
      </c>
      <c r="B102" s="1001"/>
      <c r="C102" s="1001"/>
      <c r="D102" s="1001"/>
      <c r="E102" s="1001"/>
      <c r="F102" s="1001"/>
      <c r="G102" s="1001"/>
      <c r="H102" s="1007"/>
      <c r="I102" s="407">
        <f t="shared" ref="I102" si="20">TRUNC(SUM(I94:I96),2)</f>
        <v>0</v>
      </c>
    </row>
    <row r="103" spans="1:10" s="184" customFormat="1" ht="16.5" customHeight="1">
      <c r="A103" s="997"/>
      <c r="B103" s="997"/>
      <c r="C103" s="997"/>
      <c r="D103" s="997"/>
      <c r="E103" s="997"/>
      <c r="F103" s="997"/>
      <c r="G103" s="997"/>
      <c r="H103" s="997"/>
      <c r="I103" s="998"/>
    </row>
    <row r="104" spans="1:10" s="184" customFormat="1" ht="20.100000000000001" customHeight="1">
      <c r="A104" s="1078" t="s">
        <v>218</v>
      </c>
      <c r="B104" s="1079"/>
      <c r="C104" s="1079"/>
      <c r="D104" s="1079"/>
      <c r="E104" s="1079"/>
      <c r="F104" s="1079"/>
      <c r="G104" s="1079"/>
      <c r="H104" s="1079"/>
      <c r="I104" s="1098"/>
    </row>
    <row r="105" spans="1:10" s="184" customFormat="1" ht="20.100000000000001" customHeight="1">
      <c r="A105" s="985" t="s">
        <v>93</v>
      </c>
      <c r="B105" s="985"/>
      <c r="C105" s="985"/>
      <c r="D105" s="985"/>
      <c r="E105" s="985"/>
      <c r="F105" s="985"/>
      <c r="G105" s="985"/>
      <c r="H105" s="1096"/>
      <c r="I105" s="418" t="s">
        <v>60</v>
      </c>
    </row>
    <row r="106" spans="1:10" s="184" customFormat="1" ht="22.2" customHeight="1">
      <c r="A106" s="192" t="s">
        <v>38</v>
      </c>
      <c r="B106" s="988" t="s">
        <v>94</v>
      </c>
      <c r="C106" s="988"/>
      <c r="D106" s="988"/>
      <c r="E106" s="988"/>
      <c r="F106" s="988"/>
      <c r="G106" s="988"/>
      <c r="H106" s="989"/>
      <c r="I106" s="406">
        <f t="shared" ref="I106" si="21">I25</f>
        <v>1577.13</v>
      </c>
    </row>
    <row r="107" spans="1:10" s="184" customFormat="1" ht="20.100000000000001" customHeight="1">
      <c r="A107" s="192" t="s">
        <v>40</v>
      </c>
      <c r="B107" s="988" t="s">
        <v>273</v>
      </c>
      <c r="C107" s="988"/>
      <c r="D107" s="988"/>
      <c r="E107" s="988"/>
      <c r="F107" s="988"/>
      <c r="G107" s="988"/>
      <c r="H107" s="989"/>
      <c r="I107" s="406">
        <f t="shared" ref="I107" si="22">I61</f>
        <v>1218.1599999999999</v>
      </c>
    </row>
    <row r="108" spans="1:10" s="184" customFormat="1" ht="20.100000000000001" customHeight="1">
      <c r="A108" s="192" t="s">
        <v>42</v>
      </c>
      <c r="B108" s="988" t="s">
        <v>272</v>
      </c>
      <c r="C108" s="988"/>
      <c r="D108" s="988"/>
      <c r="E108" s="988"/>
      <c r="F108" s="988"/>
      <c r="G108" s="988"/>
      <c r="H108" s="989"/>
      <c r="I108" s="406">
        <f t="shared" ref="I108" si="23">I70</f>
        <v>119.9</v>
      </c>
    </row>
    <row r="109" spans="1:10" s="184" customFormat="1" ht="20.100000000000001" customHeight="1">
      <c r="A109" s="192" t="s">
        <v>44</v>
      </c>
      <c r="B109" s="988" t="s">
        <v>271</v>
      </c>
      <c r="C109" s="988"/>
      <c r="D109" s="988"/>
      <c r="E109" s="988"/>
      <c r="F109" s="988"/>
      <c r="G109" s="988"/>
      <c r="H109" s="989"/>
      <c r="I109" s="406">
        <f t="shared" ref="I109" si="24">I82</f>
        <v>192.44</v>
      </c>
    </row>
    <row r="110" spans="1:10" s="184" customFormat="1" ht="20.100000000000001" customHeight="1">
      <c r="A110" s="192" t="s">
        <v>27</v>
      </c>
      <c r="B110" s="988" t="s">
        <v>270</v>
      </c>
      <c r="C110" s="988"/>
      <c r="D110" s="988"/>
      <c r="E110" s="988"/>
      <c r="F110" s="988"/>
      <c r="G110" s="988"/>
      <c r="H110" s="989"/>
      <c r="I110" s="406">
        <f t="shared" ref="I110" si="25">I89</f>
        <v>332.08</v>
      </c>
    </row>
    <row r="111" spans="1:10" s="184" customFormat="1" ht="20.100000000000001" customHeight="1">
      <c r="A111" s="1002" t="s">
        <v>342</v>
      </c>
      <c r="B111" s="1002"/>
      <c r="C111" s="1002"/>
      <c r="D111" s="1002"/>
      <c r="E111" s="1002"/>
      <c r="F111" s="1002"/>
      <c r="G111" s="1002"/>
      <c r="H111" s="1003"/>
      <c r="I111" s="407">
        <f t="shared" ref="I111" si="26">TRUNC(SUM(I106:I110),2)</f>
        <v>3439.71</v>
      </c>
    </row>
    <row r="112" spans="1:10" s="184" customFormat="1" ht="20.100000000000001" customHeight="1">
      <c r="A112" s="223" t="s">
        <v>67</v>
      </c>
      <c r="B112" s="988" t="s">
        <v>269</v>
      </c>
      <c r="C112" s="988"/>
      <c r="D112" s="988"/>
      <c r="E112" s="988"/>
      <c r="F112" s="988"/>
      <c r="G112" s="988"/>
      <c r="H112" s="989"/>
      <c r="I112" s="406">
        <f t="shared" ref="I112" si="27">I102</f>
        <v>0</v>
      </c>
    </row>
    <row r="113" spans="1:9" s="184" customFormat="1" ht="20.100000000000001" customHeight="1">
      <c r="A113" s="1004" t="s">
        <v>398</v>
      </c>
      <c r="B113" s="1004"/>
      <c r="C113" s="1004"/>
      <c r="D113" s="1004"/>
      <c r="E113" s="1004"/>
      <c r="F113" s="1004"/>
      <c r="G113" s="1004"/>
      <c r="H113" s="1005"/>
      <c r="I113" s="465">
        <f>TRUNC((I111+I94+I95)/(1-H96),2)</f>
        <v>3439.71</v>
      </c>
    </row>
    <row r="114" spans="1:9" customFormat="1" ht="20.100000000000001" customHeight="1"/>
    <row r="115" spans="1:9" customFormat="1" ht="15" customHeight="1">
      <c r="A115" s="1043"/>
      <c r="B115" s="1043"/>
      <c r="C115" s="1043"/>
      <c r="D115" s="1043"/>
      <c r="E115" s="104"/>
      <c r="F115" s="104"/>
      <c r="G115" s="104"/>
      <c r="H115" s="104"/>
      <c r="I115" s="104"/>
    </row>
    <row r="116" spans="1:9" customFormat="1" ht="15" customHeight="1">
      <c r="A116" s="617"/>
      <c r="B116" s="617"/>
      <c r="C116" s="617"/>
      <c r="D116" s="617"/>
      <c r="E116" s="104"/>
      <c r="F116" s="104"/>
      <c r="G116" s="104"/>
      <c r="H116" s="104"/>
      <c r="I116" s="104"/>
    </row>
    <row r="117" spans="1:9" customFormat="1" ht="15" customHeight="1">
      <c r="A117" s="1040"/>
      <c r="B117" s="1040"/>
      <c r="C117" s="1040"/>
      <c r="D117" s="1040"/>
      <c r="E117" s="1040"/>
      <c r="F117" s="1040"/>
      <c r="G117" s="1040"/>
      <c r="H117" s="1040"/>
      <c r="I117" s="1040"/>
    </row>
    <row r="118" spans="1:9" customFormat="1" ht="15" customHeight="1">
      <c r="A118" s="1040"/>
      <c r="B118" s="1040"/>
      <c r="C118" s="1040"/>
      <c r="D118" s="1040"/>
      <c r="E118" s="1040"/>
      <c r="F118" s="1040"/>
      <c r="G118" s="1040"/>
      <c r="H118" s="1040"/>
      <c r="I118" s="1040"/>
    </row>
    <row r="119" spans="1:9" customFormat="1" ht="15" customHeight="1">
      <c r="A119" s="104"/>
      <c r="B119" s="104"/>
      <c r="C119" s="104"/>
      <c r="D119" s="104"/>
      <c r="E119" s="104"/>
      <c r="F119" s="104"/>
      <c r="G119" s="104"/>
      <c r="H119" s="104"/>
      <c r="I119" s="104"/>
    </row>
    <row r="120" spans="1:9" customFormat="1" ht="19.2" customHeight="1"/>
    <row r="121" spans="1:9" customFormat="1" ht="20.100000000000001" customHeight="1"/>
    <row r="122" spans="1:9" customFormat="1" ht="44.4" customHeight="1"/>
    <row r="123" spans="1:9" customFormat="1" ht="34.950000000000003" customHeight="1"/>
    <row r="124" spans="1:9" customFormat="1" ht="31.2" customHeight="1"/>
    <row r="125" spans="1:9" customFormat="1" ht="34.950000000000003" customHeight="1"/>
    <row r="126" spans="1:9" customFormat="1" ht="31.95" customHeight="1"/>
    <row r="127" spans="1:9" customFormat="1" ht="14.4"/>
    <row r="128" spans="1:9" customFormat="1" ht="19.2" customHeight="1"/>
    <row r="129" spans="8:222" customFormat="1" ht="14.4"/>
    <row r="130" spans="8:222" customFormat="1" ht="19.2" customHeight="1"/>
    <row r="131" spans="8:222" customFormat="1" ht="20.399999999999999" customHeight="1"/>
    <row r="132" spans="8:222" s="184" customFormat="1">
      <c r="H132" s="201"/>
      <c r="I132" s="202"/>
      <c r="HN132" s="185"/>
    </row>
  </sheetData>
  <mergeCells count="142">
    <mergeCell ref="B101:G101"/>
    <mergeCell ref="A115:D115"/>
    <mergeCell ref="A117:I118"/>
    <mergeCell ref="A1:H1"/>
    <mergeCell ref="B48:F48"/>
    <mergeCell ref="A113:H113"/>
    <mergeCell ref="A10:I10"/>
    <mergeCell ref="B107:H107"/>
    <mergeCell ref="B108:H108"/>
    <mergeCell ref="B109:H109"/>
    <mergeCell ref="B110:H110"/>
    <mergeCell ref="A111:H111"/>
    <mergeCell ref="B112:H112"/>
    <mergeCell ref="B100:G100"/>
    <mergeCell ref="A102:H102"/>
    <mergeCell ref="A103:I103"/>
    <mergeCell ref="A104:I104"/>
    <mergeCell ref="A105:H105"/>
    <mergeCell ref="B106:H106"/>
    <mergeCell ref="A91:I91"/>
    <mergeCell ref="A92:I92"/>
    <mergeCell ref="B93:G93"/>
    <mergeCell ref="B94:G94"/>
    <mergeCell ref="B95:G95"/>
    <mergeCell ref="A96:A100"/>
    <mergeCell ref="B96:G96"/>
    <mergeCell ref="B97:G97"/>
    <mergeCell ref="B98:G98"/>
    <mergeCell ref="B99:G99"/>
    <mergeCell ref="B85:H85"/>
    <mergeCell ref="B86:H86"/>
    <mergeCell ref="B87:H87"/>
    <mergeCell ref="B88:H88"/>
    <mergeCell ref="A89:H89"/>
    <mergeCell ref="A90:I90"/>
    <mergeCell ref="B79:G79"/>
    <mergeCell ref="A80:G80"/>
    <mergeCell ref="B81:G81"/>
    <mergeCell ref="A82:G82"/>
    <mergeCell ref="A83:I83"/>
    <mergeCell ref="B84:H84"/>
    <mergeCell ref="B73:G73"/>
    <mergeCell ref="B74:G74"/>
    <mergeCell ref="B75:G75"/>
    <mergeCell ref="B76:G76"/>
    <mergeCell ref="B77:G77"/>
    <mergeCell ref="B78:G78"/>
    <mergeCell ref="B67:G67"/>
    <mergeCell ref="B68:G68"/>
    <mergeCell ref="B69:G69"/>
    <mergeCell ref="A70:G70"/>
    <mergeCell ref="A71:I71"/>
    <mergeCell ref="B72:H72"/>
    <mergeCell ref="A61:G61"/>
    <mergeCell ref="A62:I62"/>
    <mergeCell ref="B63:H63"/>
    <mergeCell ref="B64:G64"/>
    <mergeCell ref="B65:G65"/>
    <mergeCell ref="B66:G66"/>
    <mergeCell ref="A55:I55"/>
    <mergeCell ref="A56:I56"/>
    <mergeCell ref="B57:G57"/>
    <mergeCell ref="B58:G58"/>
    <mergeCell ref="B59:G59"/>
    <mergeCell ref="B60:G60"/>
    <mergeCell ref="B49:H49"/>
    <mergeCell ref="B50:H50"/>
    <mergeCell ref="B51:H51"/>
    <mergeCell ref="B52:H52"/>
    <mergeCell ref="B53:H53"/>
    <mergeCell ref="A54:I54"/>
    <mergeCell ref="GW47:HD47"/>
    <mergeCell ref="FA47:FH47"/>
    <mergeCell ref="FI47:FP47"/>
    <mergeCell ref="FQ47:FX47"/>
    <mergeCell ref="FY47:GF47"/>
    <mergeCell ref="GG47:GN47"/>
    <mergeCell ref="GO47:GV47"/>
    <mergeCell ref="DE47:DL47"/>
    <mergeCell ref="DM47:DT47"/>
    <mergeCell ref="DU47:EB47"/>
    <mergeCell ref="EC47:EJ47"/>
    <mergeCell ref="EK47:ER47"/>
    <mergeCell ref="ES47:EZ47"/>
    <mergeCell ref="BI47:BP47"/>
    <mergeCell ref="BQ47:BX47"/>
    <mergeCell ref="BY47:CF47"/>
    <mergeCell ref="CG47:CN47"/>
    <mergeCell ref="CO47:CV47"/>
    <mergeCell ref="CW47:DD47"/>
    <mergeCell ref="J47:N47"/>
    <mergeCell ref="U47:AB47"/>
    <mergeCell ref="AC47:AJ47"/>
    <mergeCell ref="AK47:AR47"/>
    <mergeCell ref="AS47:AZ47"/>
    <mergeCell ref="BA47:BH47"/>
    <mergeCell ref="B47:H47"/>
    <mergeCell ref="B30:G30"/>
    <mergeCell ref="A31:G31"/>
    <mergeCell ref="B32:G32"/>
    <mergeCell ref="A33:G33"/>
    <mergeCell ref="A34:I34"/>
    <mergeCell ref="B35:G35"/>
    <mergeCell ref="A45:I45"/>
    <mergeCell ref="B46:H46"/>
    <mergeCell ref="B24:H24"/>
    <mergeCell ref="A25:H25"/>
    <mergeCell ref="A26:I26"/>
    <mergeCell ref="A27:I27"/>
    <mergeCell ref="B28:G28"/>
    <mergeCell ref="B29:G29"/>
    <mergeCell ref="B42:G42"/>
    <mergeCell ref="B43:G43"/>
    <mergeCell ref="A44:G44"/>
    <mergeCell ref="B36:G36"/>
    <mergeCell ref="B37:G37"/>
    <mergeCell ref="B38:G38"/>
    <mergeCell ref="B39:G39"/>
    <mergeCell ref="B40:G40"/>
    <mergeCell ref="B41:G41"/>
    <mergeCell ref="B17:H17"/>
    <mergeCell ref="B21:G21"/>
    <mergeCell ref="B22:H22"/>
    <mergeCell ref="B23:G23"/>
    <mergeCell ref="B11:H11"/>
    <mergeCell ref="B12:H12"/>
    <mergeCell ref="B13:H13"/>
    <mergeCell ref="B14:H14"/>
    <mergeCell ref="B15:H15"/>
    <mergeCell ref="B16:H16"/>
    <mergeCell ref="A19:H19"/>
    <mergeCell ref="A20:I20"/>
    <mergeCell ref="B6:H6"/>
    <mergeCell ref="A7:I7"/>
    <mergeCell ref="A8:F8"/>
    <mergeCell ref="G8:H8"/>
    <mergeCell ref="A9:F9"/>
    <mergeCell ref="G9:H9"/>
    <mergeCell ref="A2:I2"/>
    <mergeCell ref="B3:H3"/>
    <mergeCell ref="B4:H4"/>
    <mergeCell ref="B5:H5"/>
  </mergeCells>
  <pageMargins left="0.23622047244094491" right="0.23622047244094491" top="0.74803149606299213" bottom="0.74803149606299213" header="0.31496062992125984" footer="0.31496062992125984"/>
  <pageSetup paperSize="9" scale="10" firstPageNumber="0" fitToHeight="0" orientation="landscape" r:id="rId1"/>
  <ignoredErrors>
    <ignoredError sqref="I65:I68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dimension ref="A1:IW31"/>
  <sheetViews>
    <sheetView topLeftCell="A27" zoomScalePageLayoutView="60" workbookViewId="0"/>
  </sheetViews>
  <sheetFormatPr defaultRowHeight="14.4"/>
  <cols>
    <col min="1" max="1" width="10" style="10"/>
    <col min="2" max="2" width="14.88671875" style="10"/>
    <col min="3" max="3" width="5.6640625" style="10"/>
    <col min="4" max="4" width="45.33203125" style="10"/>
    <col min="5" max="5" width="17.109375" style="10"/>
    <col min="6" max="6" width="9.109375" style="10"/>
    <col min="7" max="7" width="15.5546875" style="11"/>
    <col min="8" max="8" width="20.109375" style="11"/>
    <col min="9" max="257" width="9.109375" style="10"/>
  </cols>
  <sheetData>
    <row r="1" spans="1:10" ht="25.5" hidden="1" customHeight="1">
      <c r="A1" s="1104" t="s">
        <v>135</v>
      </c>
      <c r="B1" s="1104"/>
      <c r="C1" s="1104"/>
      <c r="D1" s="1104"/>
      <c r="E1" s="1104"/>
      <c r="F1" s="1104"/>
      <c r="G1" s="1104"/>
      <c r="H1" s="1104"/>
    </row>
    <row r="2" spans="1:10" ht="47.25" hidden="1" customHeight="1">
      <c r="A2" s="12" t="s">
        <v>0</v>
      </c>
      <c r="B2" s="12" t="s">
        <v>136</v>
      </c>
      <c r="C2" s="1105" t="s">
        <v>137</v>
      </c>
      <c r="D2" s="1105"/>
      <c r="E2" s="13" t="s">
        <v>100</v>
      </c>
      <c r="F2" s="13" t="s">
        <v>138</v>
      </c>
      <c r="G2" s="14" t="s">
        <v>139</v>
      </c>
      <c r="H2" s="14" t="s">
        <v>140</v>
      </c>
    </row>
    <row r="3" spans="1:10" ht="27.75" hidden="1" customHeight="1">
      <c r="A3" s="1106">
        <v>1</v>
      </c>
      <c r="B3" s="1107" t="s">
        <v>141</v>
      </c>
      <c r="C3" s="15">
        <v>1</v>
      </c>
      <c r="D3" s="16" t="s">
        <v>142</v>
      </c>
      <c r="E3" s="17" t="s">
        <v>143</v>
      </c>
      <c r="F3" s="17">
        <v>4</v>
      </c>
      <c r="G3" s="18">
        <v>0</v>
      </c>
      <c r="H3" s="19">
        <f>G3*F3</f>
        <v>0</v>
      </c>
    </row>
    <row r="4" spans="1:10" ht="16.5" hidden="1" customHeight="1">
      <c r="A4" s="1106"/>
      <c r="B4" s="1107"/>
      <c r="C4" s="15">
        <v>2</v>
      </c>
      <c r="D4" s="16" t="s">
        <v>144</v>
      </c>
      <c r="E4" s="17" t="s">
        <v>143</v>
      </c>
      <c r="F4" s="17">
        <v>3</v>
      </c>
      <c r="G4" s="18">
        <v>0</v>
      </c>
      <c r="H4" s="19">
        <f>G4*F4</f>
        <v>0</v>
      </c>
    </row>
    <row r="5" spans="1:10" ht="27.75" hidden="1" customHeight="1">
      <c r="A5" s="1106"/>
      <c r="B5" s="1107"/>
      <c r="C5" s="15">
        <v>3</v>
      </c>
      <c r="D5" s="16" t="s">
        <v>145</v>
      </c>
      <c r="E5" s="17" t="s">
        <v>146</v>
      </c>
      <c r="F5" s="17">
        <v>2</v>
      </c>
      <c r="G5" s="18">
        <v>0</v>
      </c>
      <c r="H5" s="19">
        <f>G5*F5</f>
        <v>0</v>
      </c>
    </row>
    <row r="6" spans="1:10" ht="16.5" hidden="1" customHeight="1">
      <c r="A6" s="1106"/>
      <c r="B6" s="1107"/>
      <c r="C6" s="20">
        <v>4</v>
      </c>
      <c r="D6" s="21" t="s">
        <v>147</v>
      </c>
      <c r="E6" s="22" t="s">
        <v>146</v>
      </c>
      <c r="F6" s="22">
        <v>1</v>
      </c>
      <c r="G6" s="23">
        <v>0</v>
      </c>
      <c r="H6" s="24">
        <f>G6*F6</f>
        <v>0</v>
      </c>
    </row>
    <row r="7" spans="1:10" ht="16.5" hidden="1" customHeight="1">
      <c r="A7" s="1106"/>
      <c r="B7" s="1107"/>
      <c r="C7" s="20">
        <v>5</v>
      </c>
      <c r="D7" s="25" t="s">
        <v>148</v>
      </c>
      <c r="E7" s="22" t="s">
        <v>146</v>
      </c>
      <c r="F7" s="22">
        <v>4</v>
      </c>
      <c r="G7" s="23">
        <v>0</v>
      </c>
      <c r="H7" s="24">
        <f>G7*F7</f>
        <v>0</v>
      </c>
    </row>
    <row r="8" spans="1:10" ht="15.75" hidden="1" customHeight="1">
      <c r="A8" s="1106"/>
      <c r="B8" s="1107"/>
      <c r="C8" s="1108" t="s">
        <v>149</v>
      </c>
      <c r="D8" s="1108"/>
      <c r="E8" s="1108"/>
      <c r="F8" s="1108"/>
      <c r="G8" s="1108"/>
      <c r="H8" s="26">
        <f>SUM(H3:H7)</f>
        <v>0</v>
      </c>
      <c r="J8" s="11"/>
    </row>
    <row r="9" spans="1:10" ht="15.75" hidden="1" customHeight="1">
      <c r="A9" s="1106"/>
      <c r="B9" s="1107"/>
      <c r="C9" s="1108" t="s">
        <v>150</v>
      </c>
      <c r="D9" s="1108"/>
      <c r="E9" s="1108"/>
      <c r="F9" s="1108"/>
      <c r="G9" s="1108"/>
      <c r="H9" s="26">
        <f>H8/12</f>
        <v>0</v>
      </c>
    </row>
    <row r="10" spans="1:10" ht="28.5" hidden="1" customHeight="1">
      <c r="A10" s="1106"/>
      <c r="B10" s="1109" t="s">
        <v>151</v>
      </c>
      <c r="C10" s="20">
        <v>1</v>
      </c>
      <c r="D10" s="16" t="s">
        <v>152</v>
      </c>
      <c r="E10" s="22" t="s">
        <v>143</v>
      </c>
      <c r="F10" s="22">
        <v>3</v>
      </c>
      <c r="G10" s="23">
        <v>0</v>
      </c>
      <c r="H10" s="24">
        <f t="shared" ref="H10:H17" si="0">F10*G10</f>
        <v>0</v>
      </c>
    </row>
    <row r="11" spans="1:10" ht="27.75" hidden="1" customHeight="1">
      <c r="A11" s="1106"/>
      <c r="B11" s="1109"/>
      <c r="C11" s="20">
        <v>2</v>
      </c>
      <c r="D11" s="16" t="s">
        <v>153</v>
      </c>
      <c r="E11" s="22" t="s">
        <v>143</v>
      </c>
      <c r="F11" s="22">
        <v>2</v>
      </c>
      <c r="G11" s="23">
        <v>0</v>
      </c>
      <c r="H11" s="24">
        <f t="shared" si="0"/>
        <v>0</v>
      </c>
    </row>
    <row r="12" spans="1:10" ht="16.5" hidden="1" customHeight="1">
      <c r="A12" s="1106"/>
      <c r="B12" s="1109"/>
      <c r="C12" s="20">
        <v>3</v>
      </c>
      <c r="D12" s="16" t="s">
        <v>154</v>
      </c>
      <c r="E12" s="22" t="s">
        <v>143</v>
      </c>
      <c r="F12" s="22">
        <v>3</v>
      </c>
      <c r="G12" s="23">
        <v>0</v>
      </c>
      <c r="H12" s="24">
        <f t="shared" si="0"/>
        <v>0</v>
      </c>
      <c r="J12" s="11"/>
    </row>
    <row r="13" spans="1:10" ht="30" hidden="1" customHeight="1">
      <c r="A13" s="1106"/>
      <c r="B13" s="1109"/>
      <c r="C13" s="20">
        <v>4</v>
      </c>
      <c r="D13" s="16" t="s">
        <v>155</v>
      </c>
      <c r="E13" s="22" t="s">
        <v>146</v>
      </c>
      <c r="F13" s="22">
        <v>2</v>
      </c>
      <c r="G13" s="23">
        <v>0</v>
      </c>
      <c r="H13" s="24">
        <f t="shared" si="0"/>
        <v>0</v>
      </c>
      <c r="J13" s="11"/>
    </row>
    <row r="14" spans="1:10" ht="15" hidden="1" customHeight="1">
      <c r="A14" s="1106"/>
      <c r="B14" s="1109"/>
      <c r="C14" s="20">
        <v>5</v>
      </c>
      <c r="D14" s="16" t="s">
        <v>148</v>
      </c>
      <c r="E14" s="22" t="s">
        <v>146</v>
      </c>
      <c r="F14" s="22">
        <v>4</v>
      </c>
      <c r="G14" s="23">
        <v>0</v>
      </c>
      <c r="H14" s="24">
        <f t="shared" si="0"/>
        <v>0</v>
      </c>
    </row>
    <row r="15" spans="1:10" ht="15" hidden="1" customHeight="1">
      <c r="A15" s="1106"/>
      <c r="B15" s="1109"/>
      <c r="C15" s="20">
        <v>6</v>
      </c>
      <c r="D15" s="16" t="s">
        <v>156</v>
      </c>
      <c r="E15" s="22" t="s">
        <v>143</v>
      </c>
      <c r="F15" s="22">
        <v>1</v>
      </c>
      <c r="G15" s="23">
        <v>0</v>
      </c>
      <c r="H15" s="24">
        <f t="shared" si="0"/>
        <v>0</v>
      </c>
      <c r="J15" s="11"/>
    </row>
    <row r="16" spans="1:10" ht="15.75" hidden="1" customHeight="1">
      <c r="A16" s="1106"/>
      <c r="B16" s="1109"/>
      <c r="C16" s="20">
        <v>7</v>
      </c>
      <c r="D16" s="16" t="s">
        <v>157</v>
      </c>
      <c r="E16" s="22" t="s">
        <v>143</v>
      </c>
      <c r="F16" s="22">
        <v>1</v>
      </c>
      <c r="G16" s="23">
        <v>0</v>
      </c>
      <c r="H16" s="24">
        <f t="shared" si="0"/>
        <v>0</v>
      </c>
    </row>
    <row r="17" spans="1:8" ht="15.75" hidden="1" customHeight="1">
      <c r="A17" s="1106"/>
      <c r="B17" s="1109"/>
      <c r="C17" s="20">
        <v>8</v>
      </c>
      <c r="D17" s="16" t="s">
        <v>147</v>
      </c>
      <c r="E17" s="22" t="s">
        <v>146</v>
      </c>
      <c r="F17" s="22">
        <v>1</v>
      </c>
      <c r="G17" s="23">
        <v>0</v>
      </c>
      <c r="H17" s="24">
        <f t="shared" si="0"/>
        <v>0</v>
      </c>
    </row>
    <row r="18" spans="1:8" ht="18" hidden="1" customHeight="1">
      <c r="A18" s="1106"/>
      <c r="B18" s="1109"/>
      <c r="C18" s="1110" t="s">
        <v>149</v>
      </c>
      <c r="D18" s="1110"/>
      <c r="E18" s="1110"/>
      <c r="F18" s="1110"/>
      <c r="G18" s="1110"/>
      <c r="H18" s="26">
        <f>SUM(H10:H17)</f>
        <v>0</v>
      </c>
    </row>
    <row r="19" spans="1:8" ht="18" hidden="1" customHeight="1">
      <c r="A19" s="1106"/>
      <c r="B19" s="1109"/>
      <c r="C19" s="1111" t="s">
        <v>158</v>
      </c>
      <c r="D19" s="1111"/>
      <c r="E19" s="1111"/>
      <c r="F19" s="1111"/>
      <c r="G19" s="1111"/>
      <c r="H19" s="26">
        <f>H18/12</f>
        <v>0</v>
      </c>
    </row>
    <row r="20" spans="1:8" ht="33" hidden="1" customHeight="1">
      <c r="A20" s="1112" t="s">
        <v>159</v>
      </c>
      <c r="B20" s="1112"/>
      <c r="C20" s="1112"/>
      <c r="D20" s="1112"/>
      <c r="E20" s="1112"/>
      <c r="F20" s="1112"/>
      <c r="G20" s="1112"/>
      <c r="H20" s="27">
        <f>(H19+H9)/2</f>
        <v>0</v>
      </c>
    </row>
    <row r="21" spans="1:8" ht="60.75" hidden="1" customHeight="1">
      <c r="A21" s="1113">
        <v>2</v>
      </c>
      <c r="B21" s="1107" t="s">
        <v>160</v>
      </c>
      <c r="C21" s="28">
        <v>1</v>
      </c>
      <c r="D21" s="16" t="s">
        <v>161</v>
      </c>
      <c r="E21" s="29" t="s">
        <v>143</v>
      </c>
      <c r="F21" s="29">
        <v>4</v>
      </c>
      <c r="G21" s="23">
        <v>0</v>
      </c>
      <c r="H21" s="30">
        <f>G21*F21</f>
        <v>0</v>
      </c>
    </row>
    <row r="22" spans="1:8" ht="44.25" hidden="1" customHeight="1">
      <c r="A22" s="1113"/>
      <c r="B22" s="1107"/>
      <c r="C22" s="28">
        <v>2</v>
      </c>
      <c r="D22" s="16" t="s">
        <v>162</v>
      </c>
      <c r="E22" s="29" t="s">
        <v>143</v>
      </c>
      <c r="F22" s="29">
        <v>3</v>
      </c>
      <c r="G22" s="23">
        <v>0</v>
      </c>
      <c r="H22" s="30">
        <f>G22*F22</f>
        <v>0</v>
      </c>
    </row>
    <row r="23" spans="1:8" ht="40.5" hidden="1" customHeight="1">
      <c r="A23" s="1113"/>
      <c r="B23" s="1107"/>
      <c r="C23" s="28">
        <v>3</v>
      </c>
      <c r="D23" s="16" t="s">
        <v>163</v>
      </c>
      <c r="E23" s="29" t="s">
        <v>146</v>
      </c>
      <c r="F23" s="29">
        <v>2</v>
      </c>
      <c r="G23" s="23">
        <v>0</v>
      </c>
      <c r="H23" s="30">
        <f>G23*F23</f>
        <v>0</v>
      </c>
    </row>
    <row r="24" spans="1:8" ht="15" hidden="1" customHeight="1">
      <c r="A24" s="1113"/>
      <c r="B24" s="1107"/>
      <c r="C24" s="28">
        <v>4</v>
      </c>
      <c r="D24" s="16" t="s">
        <v>148</v>
      </c>
      <c r="E24" s="29" t="s">
        <v>146</v>
      </c>
      <c r="F24" s="29">
        <v>4</v>
      </c>
      <c r="G24" s="23">
        <v>0</v>
      </c>
      <c r="H24" s="30">
        <f>G24*F24</f>
        <v>0</v>
      </c>
    </row>
    <row r="25" spans="1:8" ht="15" hidden="1" customHeight="1">
      <c r="A25" s="1113"/>
      <c r="B25" s="1107"/>
      <c r="C25" s="1111" t="s">
        <v>164</v>
      </c>
      <c r="D25" s="1111"/>
      <c r="E25" s="1111"/>
      <c r="F25" s="1111"/>
      <c r="G25" s="1111"/>
      <c r="H25" s="31">
        <f>SUM(H21:H24)</f>
        <v>0</v>
      </c>
    </row>
    <row r="26" spans="1:8" ht="15" hidden="1" customHeight="1">
      <c r="A26" s="1114" t="s">
        <v>165</v>
      </c>
      <c r="B26" s="1114"/>
      <c r="C26" s="1114"/>
      <c r="D26" s="1114"/>
      <c r="E26" s="1114"/>
      <c r="F26" s="1114"/>
      <c r="G26" s="1114"/>
      <c r="H26" s="32">
        <f>H25/12</f>
        <v>0</v>
      </c>
    </row>
    <row r="30" spans="1:8" ht="30.75" hidden="1" customHeight="1"/>
    <row r="31" spans="1:8" ht="49.5" hidden="1" customHeight="1"/>
  </sheetData>
  <mergeCells count="14">
    <mergeCell ref="A20:G20"/>
    <mergeCell ref="A21:A25"/>
    <mergeCell ref="B21:B25"/>
    <mergeCell ref="C25:G25"/>
    <mergeCell ref="A26:G26"/>
    <mergeCell ref="A1:H1"/>
    <mergeCell ref="C2:D2"/>
    <mergeCell ref="A3:A19"/>
    <mergeCell ref="B3:B9"/>
    <mergeCell ref="C8:G8"/>
    <mergeCell ref="C9:G9"/>
    <mergeCell ref="B10:B19"/>
    <mergeCell ref="C18:G18"/>
    <mergeCell ref="C19:G19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W78"/>
  <sheetViews>
    <sheetView zoomScalePageLayoutView="60" workbookViewId="0"/>
  </sheetViews>
  <sheetFormatPr defaultRowHeight="14.4"/>
  <cols>
    <col min="1" max="1" width="11.88671875" style="8"/>
    <col min="2" max="2" width="10.6640625" style="33"/>
    <col min="3" max="3" width="50.88671875" style="8"/>
    <col min="4" max="4" width="16.109375" style="33"/>
    <col min="5" max="9" width="16.88671875" style="34"/>
    <col min="10" max="10" width="14.88671875" style="33"/>
    <col min="11" max="11" width="10" style="8"/>
    <col min="12" max="12" width="9.109375" style="8"/>
    <col min="13" max="13" width="11.5546875" style="8"/>
    <col min="14" max="14" width="12.44140625" style="8"/>
    <col min="15" max="15" width="15.44140625" style="8"/>
    <col min="16" max="16" width="12.6640625" style="8"/>
    <col min="17" max="21" width="9.109375" style="8"/>
    <col min="22" max="22" width="19.88671875" style="8"/>
    <col min="23" max="257" width="9.109375" style="8"/>
  </cols>
  <sheetData>
    <row r="1" spans="1:16" ht="48" customHeight="1">
      <c r="A1" s="35" t="s">
        <v>143</v>
      </c>
      <c r="B1" s="36" t="s">
        <v>12</v>
      </c>
      <c r="C1" s="36" t="s">
        <v>96</v>
      </c>
      <c r="D1" s="35" t="s">
        <v>13</v>
      </c>
      <c r="E1" s="37" t="s">
        <v>166</v>
      </c>
      <c r="F1" s="35" t="s">
        <v>167</v>
      </c>
      <c r="G1" s="35" t="s">
        <v>168</v>
      </c>
      <c r="H1" s="35" t="s">
        <v>169</v>
      </c>
      <c r="I1" s="35" t="s">
        <v>170</v>
      </c>
      <c r="J1" s="35" t="s">
        <v>171</v>
      </c>
      <c r="M1" s="38" t="s">
        <v>172</v>
      </c>
      <c r="N1" s="38" t="s">
        <v>166</v>
      </c>
      <c r="O1" s="38" t="s">
        <v>173</v>
      </c>
      <c r="P1" s="38" t="s">
        <v>171</v>
      </c>
    </row>
    <row r="2" spans="1:16" ht="15" customHeight="1">
      <c r="A2" s="7" t="s">
        <v>174</v>
      </c>
      <c r="B2" s="7" t="s">
        <v>19</v>
      </c>
      <c r="C2" s="39" t="s">
        <v>175</v>
      </c>
      <c r="D2" s="1">
        <f>202.3+135.88+221.1+81.81+16.5+221.88+74+1124.86+488.98+280.42-127.7</f>
        <v>2720.03</v>
      </c>
      <c r="E2" s="6">
        <v>800</v>
      </c>
      <c r="F2" s="40">
        <f t="shared" ref="F2:F13" si="0">D2/E2</f>
        <v>3.4000375000000003</v>
      </c>
      <c r="G2" s="1115">
        <f>SUM(F2:F6)</f>
        <v>4.8111630555555562</v>
      </c>
      <c r="H2" s="1115">
        <f>SUM(G2:G15)</f>
        <v>10.008724925925929</v>
      </c>
      <c r="I2" s="1115">
        <v>10</v>
      </c>
      <c r="J2" s="41" t="s">
        <v>18</v>
      </c>
      <c r="M2" s="7" t="s">
        <v>19</v>
      </c>
      <c r="N2" s="4">
        <v>360</v>
      </c>
      <c r="O2" s="7">
        <v>212.21</v>
      </c>
      <c r="P2" s="7" t="s">
        <v>18</v>
      </c>
    </row>
    <row r="3" spans="1:16" ht="15" customHeight="1">
      <c r="A3" s="7" t="s">
        <v>174</v>
      </c>
      <c r="B3" s="7" t="s">
        <v>19</v>
      </c>
      <c r="C3" s="39" t="s">
        <v>176</v>
      </c>
      <c r="D3" s="1">
        <v>127.7</v>
      </c>
      <c r="E3" s="6">
        <v>200</v>
      </c>
      <c r="F3" s="40">
        <f t="shared" si="0"/>
        <v>0.63850000000000007</v>
      </c>
      <c r="G3" s="1115"/>
      <c r="H3" s="1115"/>
      <c r="I3" s="1115"/>
      <c r="J3" s="41" t="s">
        <v>18</v>
      </c>
      <c r="M3" s="7" t="s">
        <v>19</v>
      </c>
      <c r="N3" s="4">
        <v>800</v>
      </c>
      <c r="O3" s="7">
        <v>3984.87</v>
      </c>
      <c r="P3" s="7" t="s">
        <v>18</v>
      </c>
    </row>
    <row r="4" spans="1:16" ht="12" customHeight="1">
      <c r="A4" s="7" t="s">
        <v>174</v>
      </c>
      <c r="B4" s="7" t="s">
        <v>19</v>
      </c>
      <c r="C4" s="39" t="s">
        <v>177</v>
      </c>
      <c r="D4" s="1">
        <v>212.21</v>
      </c>
      <c r="E4" s="6">
        <v>360</v>
      </c>
      <c r="F4" s="40">
        <f t="shared" si="0"/>
        <v>0.58947222222222229</v>
      </c>
      <c r="G4" s="1115"/>
      <c r="H4" s="1115"/>
      <c r="I4" s="1115"/>
      <c r="J4" s="41" t="s">
        <v>18</v>
      </c>
      <c r="K4" s="9"/>
      <c r="M4" s="7" t="s">
        <v>19</v>
      </c>
      <c r="N4" s="4">
        <v>1000</v>
      </c>
      <c r="O4" s="7">
        <v>199.92</v>
      </c>
      <c r="P4" s="7" t="s">
        <v>18</v>
      </c>
    </row>
    <row r="5" spans="1:16" ht="12" customHeight="1">
      <c r="A5" s="7" t="s">
        <v>174</v>
      </c>
      <c r="B5" s="7" t="s">
        <v>19</v>
      </c>
      <c r="C5" s="39" t="s">
        <v>178</v>
      </c>
      <c r="D5" s="1">
        <v>50.75</v>
      </c>
      <c r="E5" s="6">
        <v>1500</v>
      </c>
      <c r="F5" s="40">
        <f t="shared" si="0"/>
        <v>3.3833333333333333E-2</v>
      </c>
      <c r="G5" s="1115"/>
      <c r="H5" s="1115"/>
      <c r="I5" s="1115"/>
      <c r="J5" s="41" t="s">
        <v>18</v>
      </c>
      <c r="K5" s="9"/>
      <c r="M5" s="7" t="s">
        <v>19</v>
      </c>
      <c r="N5" s="4">
        <v>1500</v>
      </c>
      <c r="O5" s="7">
        <v>112.75</v>
      </c>
      <c r="P5" s="7" t="s">
        <v>18</v>
      </c>
    </row>
    <row r="6" spans="1:16" ht="13.5" customHeight="1">
      <c r="A6" s="7" t="s">
        <v>174</v>
      </c>
      <c r="B6" s="7" t="s">
        <v>19</v>
      </c>
      <c r="C6" s="39" t="s">
        <v>179</v>
      </c>
      <c r="D6" s="1">
        <v>149.32</v>
      </c>
      <c r="E6" s="6">
        <v>1000</v>
      </c>
      <c r="F6" s="40">
        <f t="shared" si="0"/>
        <v>0.14931999999999998</v>
      </c>
      <c r="G6" s="1115"/>
      <c r="H6" s="1115"/>
      <c r="I6" s="1115"/>
      <c r="J6" s="41" t="s">
        <v>18</v>
      </c>
      <c r="K6" s="9"/>
      <c r="M6" s="7" t="s">
        <v>22</v>
      </c>
      <c r="N6" s="4">
        <v>1800</v>
      </c>
      <c r="O6" s="7">
        <v>3199.82</v>
      </c>
      <c r="P6" s="7" t="s">
        <v>18</v>
      </c>
    </row>
    <row r="7" spans="1:16" ht="12" customHeight="1">
      <c r="A7" s="7" t="s">
        <v>174</v>
      </c>
      <c r="B7" s="7" t="s">
        <v>22</v>
      </c>
      <c r="C7" s="39" t="s">
        <v>180</v>
      </c>
      <c r="D7" s="2">
        <v>574.62</v>
      </c>
      <c r="E7" s="6">
        <v>1800</v>
      </c>
      <c r="F7" s="6">
        <f t="shared" si="0"/>
        <v>0.31923333333333331</v>
      </c>
      <c r="G7" s="1115">
        <f>SUM(F7:F13)</f>
        <v>4.9204311703703709</v>
      </c>
      <c r="H7" s="1115"/>
      <c r="I7" s="1115"/>
      <c r="J7" s="41" t="s">
        <v>18</v>
      </c>
      <c r="K7" s="9"/>
      <c r="M7" s="7" t="s">
        <v>22</v>
      </c>
      <c r="N7" s="42">
        <v>2700</v>
      </c>
      <c r="O7" s="7">
        <v>6205.93</v>
      </c>
      <c r="P7" s="7" t="s">
        <v>18</v>
      </c>
    </row>
    <row r="8" spans="1:16" ht="36" customHeight="1">
      <c r="A8" s="7" t="s">
        <v>174</v>
      </c>
      <c r="B8" s="7" t="s">
        <v>22</v>
      </c>
      <c r="C8" s="39" t="s">
        <v>181</v>
      </c>
      <c r="D8" s="2">
        <v>14581.2</v>
      </c>
      <c r="E8" s="5">
        <v>6000</v>
      </c>
      <c r="F8" s="6">
        <f t="shared" si="0"/>
        <v>2.4302000000000001</v>
      </c>
      <c r="G8" s="1115"/>
      <c r="H8" s="1115"/>
      <c r="I8" s="1115"/>
      <c r="J8" s="41" t="s">
        <v>18</v>
      </c>
      <c r="K8" s="9"/>
      <c r="M8" s="7" t="s">
        <v>22</v>
      </c>
      <c r="N8" s="42">
        <v>6000</v>
      </c>
      <c r="O8" s="7">
        <v>15225.85</v>
      </c>
      <c r="P8" s="7" t="s">
        <v>18</v>
      </c>
    </row>
    <row r="9" spans="1:16" ht="12" customHeight="1">
      <c r="A9" s="7" t="s">
        <v>174</v>
      </c>
      <c r="B9" s="7" t="s">
        <v>22</v>
      </c>
      <c r="C9" s="39" t="s">
        <v>182</v>
      </c>
      <c r="D9" s="2">
        <v>736</v>
      </c>
      <c r="E9" s="6">
        <v>1800</v>
      </c>
      <c r="F9" s="6">
        <f t="shared" si="0"/>
        <v>0.40888888888888891</v>
      </c>
      <c r="G9" s="1115"/>
      <c r="H9" s="1115"/>
      <c r="I9" s="1115"/>
      <c r="J9" s="41" t="s">
        <v>18</v>
      </c>
      <c r="K9" s="9"/>
      <c r="M9" s="7" t="s">
        <v>22</v>
      </c>
      <c r="N9" s="42">
        <v>100000</v>
      </c>
      <c r="O9" s="7">
        <v>456.08</v>
      </c>
      <c r="P9" s="7" t="s">
        <v>18</v>
      </c>
    </row>
    <row r="10" spans="1:16" ht="24" customHeight="1">
      <c r="A10" s="7" t="s">
        <v>174</v>
      </c>
      <c r="B10" s="7" t="s">
        <v>22</v>
      </c>
      <c r="C10" s="39" t="s">
        <v>183</v>
      </c>
      <c r="D10" s="2">
        <v>336</v>
      </c>
      <c r="E10" s="6">
        <v>1800</v>
      </c>
      <c r="F10" s="6">
        <f t="shared" si="0"/>
        <v>0.18666666666666668</v>
      </c>
      <c r="G10" s="1115"/>
      <c r="H10" s="1115"/>
      <c r="I10" s="1115"/>
      <c r="J10" s="41" t="s">
        <v>18</v>
      </c>
      <c r="K10" s="9"/>
      <c r="M10" s="7" t="s">
        <v>184</v>
      </c>
      <c r="N10" s="4">
        <v>300</v>
      </c>
      <c r="O10" s="7">
        <v>1300.18</v>
      </c>
      <c r="P10" s="7" t="s">
        <v>18</v>
      </c>
    </row>
    <row r="11" spans="1:16" ht="12" customHeight="1">
      <c r="A11" s="7" t="s">
        <v>174</v>
      </c>
      <c r="B11" s="7" t="s">
        <v>22</v>
      </c>
      <c r="C11" s="39" t="s">
        <v>185</v>
      </c>
      <c r="D11" s="2">
        <v>2981.38</v>
      </c>
      <c r="E11" s="6">
        <v>2700</v>
      </c>
      <c r="F11" s="6">
        <f t="shared" si="0"/>
        <v>1.1042148148148148</v>
      </c>
      <c r="G11" s="1115"/>
      <c r="H11" s="1115"/>
      <c r="I11" s="1115"/>
      <c r="J11" s="41" t="s">
        <v>18</v>
      </c>
      <c r="K11" s="9"/>
      <c r="L11" s="43"/>
      <c r="M11" s="7" t="s">
        <v>19</v>
      </c>
      <c r="N11" s="4">
        <v>200</v>
      </c>
      <c r="O11" s="7">
        <v>189.71</v>
      </c>
      <c r="P11" s="7" t="s">
        <v>18</v>
      </c>
    </row>
    <row r="12" spans="1:16" ht="18.75" customHeight="1">
      <c r="A12" s="7" t="s">
        <v>174</v>
      </c>
      <c r="B12" s="7" t="s">
        <v>22</v>
      </c>
      <c r="C12" s="44" t="s">
        <v>186</v>
      </c>
      <c r="D12" s="2">
        <v>1260</v>
      </c>
      <c r="E12" s="5">
        <v>2700</v>
      </c>
      <c r="F12" s="6">
        <f t="shared" si="0"/>
        <v>0.46666666666666667</v>
      </c>
      <c r="G12" s="1115"/>
      <c r="H12" s="1115"/>
      <c r="I12" s="1115"/>
      <c r="J12" s="41" t="s">
        <v>18</v>
      </c>
      <c r="K12" s="9"/>
      <c r="M12" s="1116" t="s">
        <v>187</v>
      </c>
      <c r="N12" s="1116"/>
      <c r="O12" s="45">
        <f>SUM(O2:O11)</f>
        <v>31087.32</v>
      </c>
      <c r="P12" s="6"/>
    </row>
    <row r="13" spans="1:16" ht="25.5" customHeight="1">
      <c r="A13" s="7" t="s">
        <v>174</v>
      </c>
      <c r="B13" s="7" t="s">
        <v>22</v>
      </c>
      <c r="C13" s="46" t="s">
        <v>188</v>
      </c>
      <c r="D13" s="2">
        <v>456.08</v>
      </c>
      <c r="E13" s="5">
        <v>100000</v>
      </c>
      <c r="F13" s="6">
        <f t="shared" si="0"/>
        <v>4.5608000000000003E-3</v>
      </c>
      <c r="G13" s="1115"/>
      <c r="H13" s="1115"/>
      <c r="I13" s="1115"/>
      <c r="J13" s="41" t="s">
        <v>18</v>
      </c>
      <c r="K13" s="47"/>
      <c r="M13" s="48" t="s">
        <v>19</v>
      </c>
      <c r="N13" s="49">
        <v>800</v>
      </c>
      <c r="O13" s="50">
        <f>2355.43-46</f>
        <v>2309.4299999999998</v>
      </c>
      <c r="P13" s="48" t="s">
        <v>28</v>
      </c>
    </row>
    <row r="14" spans="1:16" ht="24.75" customHeight="1">
      <c r="A14" s="7" t="s">
        <v>174</v>
      </c>
      <c r="B14" s="7" t="s">
        <v>189</v>
      </c>
      <c r="C14" s="44" t="s">
        <v>190</v>
      </c>
      <c r="D14" s="3">
        <v>496.65</v>
      </c>
      <c r="E14" s="6">
        <v>300</v>
      </c>
      <c r="F14" s="51">
        <f>D14*0.000279</f>
        <v>0.13856535</v>
      </c>
      <c r="G14" s="1115">
        <f>SUM(F14:F15)</f>
        <v>0.27713070000000001</v>
      </c>
      <c r="H14" s="1115"/>
      <c r="I14" s="1115"/>
      <c r="J14" s="41" t="s">
        <v>18</v>
      </c>
      <c r="K14" s="9"/>
      <c r="M14" s="48" t="s">
        <v>19</v>
      </c>
      <c r="N14" s="49">
        <v>1000</v>
      </c>
      <c r="O14" s="50">
        <v>65.69</v>
      </c>
      <c r="P14" s="48" t="s">
        <v>28</v>
      </c>
    </row>
    <row r="15" spans="1:16" ht="12" customHeight="1">
      <c r="A15" s="7" t="s">
        <v>174</v>
      </c>
      <c r="B15" s="7" t="s">
        <v>191</v>
      </c>
      <c r="C15" s="44" t="s">
        <v>190</v>
      </c>
      <c r="D15" s="3">
        <v>496.65</v>
      </c>
      <c r="E15" s="6">
        <v>300</v>
      </c>
      <c r="F15" s="51">
        <f>D15*0.000279</f>
        <v>0.13856535</v>
      </c>
      <c r="G15" s="1115"/>
      <c r="H15" s="1115"/>
      <c r="I15" s="1115"/>
      <c r="J15" s="41" t="s">
        <v>18</v>
      </c>
      <c r="K15" s="9"/>
      <c r="M15" s="48" t="s">
        <v>19</v>
      </c>
      <c r="N15" s="49">
        <v>1500</v>
      </c>
      <c r="O15" s="50">
        <v>409.98</v>
      </c>
      <c r="P15" s="48" t="s">
        <v>28</v>
      </c>
    </row>
    <row r="16" spans="1:16" ht="12" customHeight="1">
      <c r="A16" s="52" t="s">
        <v>192</v>
      </c>
      <c r="B16" s="52" t="s">
        <v>19</v>
      </c>
      <c r="C16" s="53" t="s">
        <v>175</v>
      </c>
      <c r="D16" s="54">
        <f>390.7-D18</f>
        <v>372.4</v>
      </c>
      <c r="E16" s="38">
        <v>800</v>
      </c>
      <c r="F16" s="38">
        <f t="shared" ref="F16:F21" si="1">D16/E16</f>
        <v>0.46549999999999997</v>
      </c>
      <c r="G16" s="1117">
        <f>SUM(F16:F17)</f>
        <v>0.46683333333333332</v>
      </c>
      <c r="H16" s="1117">
        <f>SUM(G16:G23)</f>
        <v>0.68952881481481487</v>
      </c>
      <c r="I16" s="1117">
        <v>1</v>
      </c>
      <c r="J16" s="52" t="s">
        <v>18</v>
      </c>
      <c r="K16" s="9"/>
      <c r="M16" s="48" t="s">
        <v>22</v>
      </c>
      <c r="N16" s="49">
        <v>1800</v>
      </c>
      <c r="O16" s="50">
        <v>2538</v>
      </c>
      <c r="P16" s="48" t="s">
        <v>28</v>
      </c>
    </row>
    <row r="17" spans="1:16" ht="13.5" customHeight="1">
      <c r="A17" s="52" t="s">
        <v>192</v>
      </c>
      <c r="B17" s="52" t="s">
        <v>19</v>
      </c>
      <c r="C17" s="53" t="s">
        <v>193</v>
      </c>
      <c r="D17" s="3">
        <v>2</v>
      </c>
      <c r="E17" s="38">
        <v>1500</v>
      </c>
      <c r="F17" s="38">
        <f t="shared" si="1"/>
        <v>1.3333333333333333E-3</v>
      </c>
      <c r="G17" s="1117"/>
      <c r="H17" s="1117"/>
      <c r="I17" s="1117"/>
      <c r="J17" s="52" t="s">
        <v>18</v>
      </c>
      <c r="K17" s="9"/>
      <c r="M17" s="48" t="s">
        <v>22</v>
      </c>
      <c r="N17" s="55">
        <v>2700</v>
      </c>
      <c r="O17" s="50">
        <v>3418.44</v>
      </c>
      <c r="P17" s="48" t="s">
        <v>28</v>
      </c>
    </row>
    <row r="18" spans="1:16" ht="13.5" customHeight="1">
      <c r="A18" s="52" t="s">
        <v>192</v>
      </c>
      <c r="B18" s="52" t="s">
        <v>19</v>
      </c>
      <c r="C18" s="53" t="s">
        <v>194</v>
      </c>
      <c r="D18" s="3">
        <f>18.3</f>
        <v>18.3</v>
      </c>
      <c r="E18" s="38">
        <v>200</v>
      </c>
      <c r="F18" s="38">
        <f t="shared" si="1"/>
        <v>9.1499999999999998E-2</v>
      </c>
      <c r="G18" s="56">
        <f>F18</f>
        <v>9.1499999999999998E-2</v>
      </c>
      <c r="H18" s="1117"/>
      <c r="I18" s="1117"/>
      <c r="J18" s="52" t="s">
        <v>18</v>
      </c>
      <c r="K18" s="9"/>
      <c r="M18" s="48"/>
      <c r="N18" s="55"/>
      <c r="O18" s="50"/>
      <c r="P18" s="48"/>
    </row>
    <row r="19" spans="1:16" ht="12" customHeight="1">
      <c r="A19" s="52" t="s">
        <v>192</v>
      </c>
      <c r="B19" s="52" t="s">
        <v>22</v>
      </c>
      <c r="C19" s="57" t="s">
        <v>180</v>
      </c>
      <c r="D19" s="58">
        <v>180.45</v>
      </c>
      <c r="E19" s="38">
        <v>1800</v>
      </c>
      <c r="F19" s="38">
        <f t="shared" si="1"/>
        <v>0.10024999999999999</v>
      </c>
      <c r="G19" s="1117">
        <f>SUM(F19:F21)</f>
        <v>0.12673148148148147</v>
      </c>
      <c r="H19" s="1117"/>
      <c r="I19" s="1117"/>
      <c r="J19" s="52" t="s">
        <v>18</v>
      </c>
      <c r="K19" s="9"/>
      <c r="M19" s="48" t="s">
        <v>22</v>
      </c>
      <c r="N19" s="55">
        <v>6000</v>
      </c>
      <c r="O19" s="50">
        <v>3822.17</v>
      </c>
      <c r="P19" s="48" t="s">
        <v>28</v>
      </c>
    </row>
    <row r="20" spans="1:16" ht="36" customHeight="1">
      <c r="A20" s="52" t="s">
        <v>192</v>
      </c>
      <c r="B20" s="52" t="s">
        <v>22</v>
      </c>
      <c r="C20" s="53" t="s">
        <v>181</v>
      </c>
      <c r="D20" s="3">
        <v>50</v>
      </c>
      <c r="E20" s="59">
        <v>6000</v>
      </c>
      <c r="F20" s="38">
        <f t="shared" si="1"/>
        <v>8.3333333333333332E-3</v>
      </c>
      <c r="G20" s="1117"/>
      <c r="H20" s="1117"/>
      <c r="I20" s="1117"/>
      <c r="J20" s="52" t="s">
        <v>18</v>
      </c>
      <c r="K20" s="9"/>
      <c r="M20" s="48" t="s">
        <v>22</v>
      </c>
      <c r="N20" s="55">
        <v>100000</v>
      </c>
      <c r="O20" s="50">
        <v>1751</v>
      </c>
      <c r="P20" s="48" t="s">
        <v>28</v>
      </c>
    </row>
    <row r="21" spans="1:16" ht="12" customHeight="1">
      <c r="A21" s="52" t="s">
        <v>192</v>
      </c>
      <c r="B21" s="52" t="s">
        <v>22</v>
      </c>
      <c r="C21" s="53" t="s">
        <v>195</v>
      </c>
      <c r="D21" s="3">
        <v>49</v>
      </c>
      <c r="E21" s="38">
        <v>2700</v>
      </c>
      <c r="F21" s="38">
        <f t="shared" si="1"/>
        <v>1.8148148148148149E-2</v>
      </c>
      <c r="G21" s="1117"/>
      <c r="H21" s="1117"/>
      <c r="I21" s="1117"/>
      <c r="J21" s="52" t="s">
        <v>18</v>
      </c>
      <c r="K21" s="9"/>
      <c r="M21" s="60" t="s">
        <v>184</v>
      </c>
      <c r="N21" s="61">
        <v>300</v>
      </c>
      <c r="O21" s="62">
        <v>553.38</v>
      </c>
      <c r="P21" s="60" t="s">
        <v>28</v>
      </c>
    </row>
    <row r="22" spans="1:16" ht="18" customHeight="1">
      <c r="A22" s="52" t="s">
        <v>192</v>
      </c>
      <c r="B22" s="52" t="s">
        <v>189</v>
      </c>
      <c r="C22" s="57" t="s">
        <v>196</v>
      </c>
      <c r="D22" s="3">
        <v>8</v>
      </c>
      <c r="E22" s="38">
        <v>300</v>
      </c>
      <c r="F22" s="38">
        <f>D22*0.000279</f>
        <v>2.232E-3</v>
      </c>
      <c r="G22" s="1117">
        <f>SUM(F22:F23)</f>
        <v>4.4640000000000001E-3</v>
      </c>
      <c r="H22" s="1117"/>
      <c r="I22" s="1117"/>
      <c r="J22" s="52" t="s">
        <v>18</v>
      </c>
      <c r="K22" s="9"/>
      <c r="M22" s="60" t="s">
        <v>19</v>
      </c>
      <c r="N22" s="61">
        <v>200</v>
      </c>
      <c r="O22" s="62">
        <v>87.02</v>
      </c>
      <c r="P22" s="60" t="s">
        <v>28</v>
      </c>
    </row>
    <row r="23" spans="1:16" ht="17.25" customHeight="1">
      <c r="A23" s="52" t="s">
        <v>192</v>
      </c>
      <c r="B23" s="52" t="s">
        <v>191</v>
      </c>
      <c r="C23" s="57" t="s">
        <v>197</v>
      </c>
      <c r="D23" s="3">
        <v>8</v>
      </c>
      <c r="E23" s="38">
        <v>300</v>
      </c>
      <c r="F23" s="38">
        <f>D23*0.000279</f>
        <v>2.232E-3</v>
      </c>
      <c r="G23" s="1117"/>
      <c r="H23" s="1117"/>
      <c r="I23" s="1117"/>
      <c r="J23" s="52" t="s">
        <v>18</v>
      </c>
      <c r="K23" s="9"/>
      <c r="M23" s="1118" t="s">
        <v>187</v>
      </c>
      <c r="N23" s="1118"/>
      <c r="O23" s="63">
        <f>SUM(O13:O22)</f>
        <v>14955.11</v>
      </c>
      <c r="P23" s="52"/>
    </row>
    <row r="24" spans="1:16" ht="12" customHeight="1">
      <c r="A24" s="7" t="s">
        <v>198</v>
      </c>
      <c r="B24" s="7" t="s">
        <v>19</v>
      </c>
      <c r="C24" s="39" t="s">
        <v>175</v>
      </c>
      <c r="D24" s="40">
        <f>482.58-46</f>
        <v>436.58</v>
      </c>
      <c r="E24" s="6">
        <v>800</v>
      </c>
      <c r="F24" s="6">
        <f t="shared" ref="F24:F30" si="2">D24/E24</f>
        <v>0.54572500000000002</v>
      </c>
      <c r="G24" s="1115">
        <f>SUM(F24:F27)</f>
        <v>1.0594016666666666</v>
      </c>
      <c r="H24" s="1115">
        <f>SUM(G24:G32)</f>
        <v>1.4095405733333333</v>
      </c>
      <c r="I24" s="1115">
        <v>2</v>
      </c>
      <c r="J24" s="41" t="s">
        <v>28</v>
      </c>
      <c r="K24" s="9"/>
      <c r="M24" s="64" t="s">
        <v>199</v>
      </c>
      <c r="N24" s="52"/>
      <c r="O24" s="63">
        <f>O12+O23</f>
        <v>46042.43</v>
      </c>
      <c r="P24" s="52"/>
    </row>
    <row r="25" spans="1:16" ht="12" customHeight="1">
      <c r="A25" s="7" t="s">
        <v>198</v>
      </c>
      <c r="B25" s="7" t="s">
        <v>19</v>
      </c>
      <c r="C25" s="39" t="s">
        <v>200</v>
      </c>
      <c r="D25" s="40">
        <v>46</v>
      </c>
      <c r="E25" s="6">
        <v>200</v>
      </c>
      <c r="F25" s="6">
        <f t="shared" si="2"/>
        <v>0.23</v>
      </c>
      <c r="G25" s="1115"/>
      <c r="H25" s="1115"/>
      <c r="I25" s="1115"/>
      <c r="J25" s="41" t="s">
        <v>28</v>
      </c>
      <c r="K25" s="9"/>
      <c r="M25" s="65"/>
      <c r="N25" s="66"/>
      <c r="O25" s="67"/>
      <c r="P25" s="66"/>
    </row>
    <row r="26" spans="1:16" ht="12" customHeight="1">
      <c r="A26" s="7" t="s">
        <v>198</v>
      </c>
      <c r="B26" s="7" t="s">
        <v>19</v>
      </c>
      <c r="C26" s="39" t="s">
        <v>201</v>
      </c>
      <c r="D26" s="40">
        <v>326.98</v>
      </c>
      <c r="E26" s="6">
        <v>1500</v>
      </c>
      <c r="F26" s="6">
        <f t="shared" si="2"/>
        <v>0.21798666666666669</v>
      </c>
      <c r="G26" s="1115"/>
      <c r="H26" s="1115"/>
      <c r="I26" s="1115"/>
      <c r="J26" s="41" t="s">
        <v>28</v>
      </c>
      <c r="K26" s="9"/>
      <c r="M26" s="1119"/>
      <c r="N26" s="1119"/>
      <c r="O26" s="1119"/>
      <c r="P26" s="1119"/>
    </row>
    <row r="27" spans="1:16" ht="12" customHeight="1">
      <c r="A27" s="7" t="s">
        <v>198</v>
      </c>
      <c r="B27" s="7" t="s">
        <v>19</v>
      </c>
      <c r="C27" s="39" t="s">
        <v>202</v>
      </c>
      <c r="D27" s="40">
        <v>65.69</v>
      </c>
      <c r="E27" s="6">
        <v>1000</v>
      </c>
      <c r="F27" s="6">
        <f t="shared" si="2"/>
        <v>6.5689999999999998E-2</v>
      </c>
      <c r="G27" s="1115"/>
      <c r="H27" s="1115"/>
      <c r="I27" s="1115"/>
      <c r="J27" s="41" t="s">
        <v>28</v>
      </c>
      <c r="K27" s="9"/>
    </row>
    <row r="28" spans="1:16" ht="12" customHeight="1">
      <c r="A28" s="7" t="s">
        <v>198</v>
      </c>
      <c r="B28" s="7" t="s">
        <v>22</v>
      </c>
      <c r="C28" s="39" t="s">
        <v>180</v>
      </c>
      <c r="D28" s="68">
        <v>67.900000000000006</v>
      </c>
      <c r="E28" s="6">
        <v>1800</v>
      </c>
      <c r="F28" s="6">
        <f t="shared" si="2"/>
        <v>3.7722222222222226E-2</v>
      </c>
      <c r="G28" s="1115">
        <f>SUM(F28:F30)</f>
        <v>0.2888816666666667</v>
      </c>
      <c r="H28" s="1115"/>
      <c r="I28" s="1115"/>
      <c r="J28" s="41" t="s">
        <v>28</v>
      </c>
      <c r="K28" s="9"/>
      <c r="M28" s="1120"/>
      <c r="N28" s="1120"/>
      <c r="O28" s="1120"/>
      <c r="P28" s="1120"/>
    </row>
    <row r="29" spans="1:16" ht="36" customHeight="1">
      <c r="A29" s="7" t="s">
        <v>198</v>
      </c>
      <c r="B29" s="7" t="s">
        <v>22</v>
      </c>
      <c r="C29" s="39" t="s">
        <v>181</v>
      </c>
      <c r="D29" s="6">
        <v>164.49</v>
      </c>
      <c r="E29" s="5">
        <v>6000</v>
      </c>
      <c r="F29" s="6">
        <f t="shared" si="2"/>
        <v>2.7415000000000002E-2</v>
      </c>
      <c r="G29" s="1115"/>
      <c r="H29" s="1115"/>
      <c r="I29" s="1115"/>
      <c r="J29" s="41" t="s">
        <v>28</v>
      </c>
      <c r="K29" s="9"/>
      <c r="M29" s="1120"/>
      <c r="N29" s="1120"/>
      <c r="O29" s="1120"/>
      <c r="P29" s="1120"/>
    </row>
    <row r="30" spans="1:16" ht="24" customHeight="1">
      <c r="A30" s="7" t="s">
        <v>198</v>
      </c>
      <c r="B30" s="7" t="s">
        <v>22</v>
      </c>
      <c r="C30" s="39" t="s">
        <v>203</v>
      </c>
      <c r="D30" s="6">
        <v>402.74</v>
      </c>
      <c r="E30" s="6">
        <v>1800</v>
      </c>
      <c r="F30" s="6">
        <f t="shared" si="2"/>
        <v>0.22374444444444444</v>
      </c>
      <c r="G30" s="1115"/>
      <c r="H30" s="1115"/>
      <c r="I30" s="1115"/>
      <c r="J30" s="41" t="s">
        <v>28</v>
      </c>
      <c r="K30" s="9"/>
      <c r="M30" s="1120"/>
      <c r="N30" s="1120"/>
      <c r="O30" s="1120"/>
      <c r="P30" s="1120"/>
    </row>
    <row r="31" spans="1:16" ht="12" customHeight="1">
      <c r="A31" s="7" t="s">
        <v>198</v>
      </c>
      <c r="B31" s="7" t="s">
        <v>189</v>
      </c>
      <c r="C31" s="44" t="s">
        <v>196</v>
      </c>
      <c r="D31" s="51">
        <v>109.78</v>
      </c>
      <c r="E31" s="6">
        <v>300</v>
      </c>
      <c r="F31" s="6">
        <f>D31*0.000279</f>
        <v>3.0628620000000002E-2</v>
      </c>
      <c r="G31" s="1115">
        <f>SUM(F31:F32)</f>
        <v>6.1257240000000004E-2</v>
      </c>
      <c r="H31" s="1115"/>
      <c r="I31" s="1115"/>
      <c r="J31" s="41" t="s">
        <v>28</v>
      </c>
      <c r="K31" s="9"/>
    </row>
    <row r="32" spans="1:16" ht="12" customHeight="1">
      <c r="A32" s="7" t="s">
        <v>198</v>
      </c>
      <c r="B32" s="7" t="s">
        <v>191</v>
      </c>
      <c r="C32" s="44" t="s">
        <v>197</v>
      </c>
      <c r="D32" s="51">
        <v>109.78</v>
      </c>
      <c r="E32" s="6">
        <v>300</v>
      </c>
      <c r="F32" s="6">
        <f>D32*0.000279</f>
        <v>3.0628620000000002E-2</v>
      </c>
      <c r="G32" s="1115"/>
      <c r="H32" s="1115"/>
      <c r="I32" s="1115"/>
      <c r="J32" s="41" t="s">
        <v>28</v>
      </c>
      <c r="K32" s="9"/>
    </row>
    <row r="33" spans="1:15" ht="12" customHeight="1">
      <c r="A33" s="52" t="s">
        <v>204</v>
      </c>
      <c r="B33" s="52" t="s">
        <v>19</v>
      </c>
      <c r="C33" s="53" t="s">
        <v>175</v>
      </c>
      <c r="D33" s="40">
        <v>200.09</v>
      </c>
      <c r="E33" s="38">
        <v>800</v>
      </c>
      <c r="F33" s="38">
        <f>D33/E33</f>
        <v>0.25011250000000002</v>
      </c>
      <c r="G33" s="38">
        <f>SUM(F33)</f>
        <v>0.25011250000000002</v>
      </c>
      <c r="H33" s="1117">
        <f>SUM(G33:G36)</f>
        <v>0.69204382222222227</v>
      </c>
      <c r="I33" s="1117">
        <v>1</v>
      </c>
      <c r="J33" s="52" t="s">
        <v>28</v>
      </c>
      <c r="K33" s="9"/>
      <c r="O33" s="43"/>
    </row>
    <row r="34" spans="1:15" ht="12" customHeight="1">
      <c r="A34" s="52" t="s">
        <v>204</v>
      </c>
      <c r="B34" s="52" t="s">
        <v>22</v>
      </c>
      <c r="C34" s="57" t="s">
        <v>205</v>
      </c>
      <c r="D34" s="58">
        <v>743.8</v>
      </c>
      <c r="E34" s="38">
        <v>1800</v>
      </c>
      <c r="F34" s="38">
        <f>D34/E34</f>
        <v>0.41322222222222221</v>
      </c>
      <c r="G34" s="38">
        <f>SUM(F34)</f>
        <v>0.41322222222222221</v>
      </c>
      <c r="H34" s="1117"/>
      <c r="I34" s="1117"/>
      <c r="J34" s="52" t="s">
        <v>28</v>
      </c>
      <c r="K34" s="9"/>
      <c r="O34" s="43"/>
    </row>
    <row r="35" spans="1:15" ht="12" customHeight="1">
      <c r="A35" s="52" t="s">
        <v>204</v>
      </c>
      <c r="B35" s="52" t="s">
        <v>189</v>
      </c>
      <c r="C35" s="57" t="s">
        <v>196</v>
      </c>
      <c r="D35" s="51">
        <v>51.45</v>
      </c>
      <c r="E35" s="38">
        <v>300</v>
      </c>
      <c r="F35" s="38">
        <f>D35*0.000279</f>
        <v>1.4354550000000001E-2</v>
      </c>
      <c r="G35" s="1117">
        <f>SUM(F35:F36)</f>
        <v>2.8709100000000001E-2</v>
      </c>
      <c r="H35" s="1117"/>
      <c r="I35" s="1117"/>
      <c r="J35" s="52" t="s">
        <v>28</v>
      </c>
      <c r="K35" s="9"/>
    </row>
    <row r="36" spans="1:15" ht="14.25" customHeight="1">
      <c r="A36" s="52" t="s">
        <v>204</v>
      </c>
      <c r="B36" s="52" t="s">
        <v>191</v>
      </c>
      <c r="C36" s="57" t="s">
        <v>197</v>
      </c>
      <c r="D36" s="51">
        <v>51.45</v>
      </c>
      <c r="E36" s="38">
        <v>300</v>
      </c>
      <c r="F36" s="38">
        <f>D36*0.000279</f>
        <v>1.4354550000000001E-2</v>
      </c>
      <c r="G36" s="1117"/>
      <c r="H36" s="1117"/>
      <c r="I36" s="1117"/>
      <c r="J36" s="52" t="s">
        <v>28</v>
      </c>
      <c r="K36" s="9"/>
      <c r="N36" s="43"/>
    </row>
    <row r="37" spans="1:15" ht="12" customHeight="1">
      <c r="A37" s="7" t="s">
        <v>101</v>
      </c>
      <c r="B37" s="7" t="s">
        <v>19</v>
      </c>
      <c r="C37" s="39" t="s">
        <v>175</v>
      </c>
      <c r="D37" s="40">
        <f>936.15-43.71</f>
        <v>892.43999999999994</v>
      </c>
      <c r="E37" s="6">
        <v>800</v>
      </c>
      <c r="F37" s="6">
        <f t="shared" ref="F37:F46" si="3">D37/E37</f>
        <v>1.1155499999999998</v>
      </c>
      <c r="G37" s="1115">
        <f>SUM(F37:F40)</f>
        <v>1.4246999999999999</v>
      </c>
      <c r="H37" s="1115">
        <f>SUM(G37:G48)</f>
        <v>3.0770657051851846</v>
      </c>
      <c r="I37" s="1115">
        <v>3</v>
      </c>
      <c r="J37" s="41" t="s">
        <v>18</v>
      </c>
      <c r="K37" s="9"/>
    </row>
    <row r="38" spans="1:15" ht="12" customHeight="1">
      <c r="A38" s="7" t="s">
        <v>101</v>
      </c>
      <c r="B38" s="7" t="s">
        <v>19</v>
      </c>
      <c r="C38" s="39" t="s">
        <v>176</v>
      </c>
      <c r="D38" s="40">
        <v>43.71</v>
      </c>
      <c r="E38" s="6">
        <v>200</v>
      </c>
      <c r="F38" s="6">
        <f t="shared" si="3"/>
        <v>0.21854999999999999</v>
      </c>
      <c r="G38" s="1115"/>
      <c r="H38" s="1115"/>
      <c r="I38" s="1115"/>
      <c r="J38" s="41" t="s">
        <v>18</v>
      </c>
      <c r="K38" s="9"/>
    </row>
    <row r="39" spans="1:15" ht="12" customHeight="1">
      <c r="A39" s="7" t="s">
        <v>101</v>
      </c>
      <c r="B39" s="7" t="s">
        <v>19</v>
      </c>
      <c r="C39" s="39" t="s">
        <v>201</v>
      </c>
      <c r="D39" s="40">
        <v>60</v>
      </c>
      <c r="E39" s="6">
        <v>1500</v>
      </c>
      <c r="F39" s="6">
        <f t="shared" si="3"/>
        <v>0.04</v>
      </c>
      <c r="G39" s="1115"/>
      <c r="H39" s="1115"/>
      <c r="I39" s="1115"/>
      <c r="J39" s="41" t="s">
        <v>18</v>
      </c>
      <c r="K39" s="9"/>
      <c r="O39" s="69"/>
    </row>
    <row r="40" spans="1:15" ht="12" customHeight="1">
      <c r="A40" s="7" t="s">
        <v>101</v>
      </c>
      <c r="B40" s="7" t="s">
        <v>19</v>
      </c>
      <c r="C40" s="39" t="s">
        <v>202</v>
      </c>
      <c r="D40" s="40">
        <v>50.6</v>
      </c>
      <c r="E40" s="6">
        <v>1000</v>
      </c>
      <c r="F40" s="6">
        <f t="shared" si="3"/>
        <v>5.0599999999999999E-2</v>
      </c>
      <c r="G40" s="1115"/>
      <c r="H40" s="1115"/>
      <c r="I40" s="1115"/>
      <c r="J40" s="41" t="s">
        <v>18</v>
      </c>
      <c r="K40" s="9"/>
      <c r="O40" s="70"/>
    </row>
    <row r="41" spans="1:15" ht="12" customHeight="1">
      <c r="A41" s="7" t="s">
        <v>101</v>
      </c>
      <c r="B41" s="7" t="s">
        <v>22</v>
      </c>
      <c r="C41" s="39" t="s">
        <v>180</v>
      </c>
      <c r="D41" s="6">
        <v>782.15</v>
      </c>
      <c r="E41" s="6">
        <v>1800</v>
      </c>
      <c r="F41" s="6">
        <f t="shared" si="3"/>
        <v>0.43452777777777779</v>
      </c>
      <c r="G41" s="1115">
        <f>SUM(F41:F46)</f>
        <v>1.5712101851851852</v>
      </c>
      <c r="H41" s="1115"/>
      <c r="I41" s="1115"/>
      <c r="J41" s="41" t="s">
        <v>18</v>
      </c>
      <c r="K41" s="9"/>
    </row>
    <row r="42" spans="1:15" ht="36" customHeight="1">
      <c r="A42" s="7" t="s">
        <v>101</v>
      </c>
      <c r="B42" s="7" t="s">
        <v>22</v>
      </c>
      <c r="C42" s="39" t="s">
        <v>181</v>
      </c>
      <c r="D42" s="6">
        <v>594.65</v>
      </c>
      <c r="E42" s="5">
        <v>6000</v>
      </c>
      <c r="F42" s="6">
        <f t="shared" si="3"/>
        <v>9.9108333333333326E-2</v>
      </c>
      <c r="G42" s="1115"/>
      <c r="H42" s="1115"/>
      <c r="I42" s="1115"/>
      <c r="J42" s="41" t="s">
        <v>18</v>
      </c>
      <c r="K42" s="9"/>
      <c r="N42" s="71"/>
      <c r="O42" s="72"/>
    </row>
    <row r="43" spans="1:15" ht="24" customHeight="1">
      <c r="A43" s="7" t="s">
        <v>101</v>
      </c>
      <c r="B43" s="7" t="s">
        <v>22</v>
      </c>
      <c r="C43" s="39" t="s">
        <v>203</v>
      </c>
      <c r="D43" s="6">
        <v>285</v>
      </c>
      <c r="E43" s="6">
        <v>1800</v>
      </c>
      <c r="F43" s="6">
        <f t="shared" si="3"/>
        <v>0.15833333333333333</v>
      </c>
      <c r="G43" s="1115"/>
      <c r="H43" s="1115"/>
      <c r="I43" s="1115"/>
      <c r="J43" s="41" t="s">
        <v>18</v>
      </c>
      <c r="K43" s="9"/>
    </row>
    <row r="44" spans="1:15" ht="12" customHeight="1">
      <c r="A44" s="7" t="s">
        <v>101</v>
      </c>
      <c r="B44" s="7" t="s">
        <v>22</v>
      </c>
      <c r="C44" s="39" t="s">
        <v>183</v>
      </c>
      <c r="D44" s="6">
        <v>305.60000000000002</v>
      </c>
      <c r="E44" s="6">
        <v>1800</v>
      </c>
      <c r="F44" s="6">
        <f t="shared" si="3"/>
        <v>0.16977777777777778</v>
      </c>
      <c r="G44" s="1115"/>
      <c r="H44" s="1115"/>
      <c r="I44" s="1115"/>
      <c r="J44" s="41" t="s">
        <v>18</v>
      </c>
      <c r="K44" s="9"/>
    </row>
    <row r="45" spans="1:15" ht="12" customHeight="1">
      <c r="A45" s="7" t="s">
        <v>101</v>
      </c>
      <c r="B45" s="7" t="s">
        <v>22</v>
      </c>
      <c r="C45" s="39" t="s">
        <v>185</v>
      </c>
      <c r="D45" s="6">
        <v>515.54999999999995</v>
      </c>
      <c r="E45" s="6">
        <v>2700</v>
      </c>
      <c r="F45" s="6">
        <f t="shared" si="3"/>
        <v>0.19094444444444442</v>
      </c>
      <c r="G45" s="1115"/>
      <c r="H45" s="1115"/>
      <c r="I45" s="1115"/>
      <c r="J45" s="41" t="s">
        <v>18</v>
      </c>
      <c r="K45" s="9"/>
    </row>
    <row r="46" spans="1:15" ht="12" customHeight="1">
      <c r="A46" s="7" t="s">
        <v>101</v>
      </c>
      <c r="B46" s="7" t="s">
        <v>22</v>
      </c>
      <c r="C46" s="39" t="s">
        <v>186</v>
      </c>
      <c r="D46" s="5">
        <v>1400</v>
      </c>
      <c r="E46" s="5">
        <v>2700</v>
      </c>
      <c r="F46" s="6">
        <f t="shared" si="3"/>
        <v>0.51851851851851849</v>
      </c>
      <c r="G46" s="1115"/>
      <c r="H46" s="1115"/>
      <c r="I46" s="1115"/>
      <c r="J46" s="41" t="s">
        <v>18</v>
      </c>
      <c r="K46" s="9"/>
    </row>
    <row r="47" spans="1:15" ht="12" customHeight="1">
      <c r="A47" s="7" t="s">
        <v>101</v>
      </c>
      <c r="B47" s="7" t="s">
        <v>189</v>
      </c>
      <c r="C47" s="44" t="s">
        <v>196</v>
      </c>
      <c r="D47" s="51">
        <v>145.44</v>
      </c>
      <c r="E47" s="6">
        <v>300</v>
      </c>
      <c r="F47" s="6">
        <f>D47*0.000279</f>
        <v>4.0577759999999997E-2</v>
      </c>
      <c r="G47" s="1115">
        <f>SUM(F47:F48)</f>
        <v>8.1155519999999995E-2</v>
      </c>
      <c r="H47" s="1115"/>
      <c r="I47" s="1115"/>
      <c r="J47" s="41" t="s">
        <v>18</v>
      </c>
      <c r="K47" s="9"/>
    </row>
    <row r="48" spans="1:15" ht="12" customHeight="1">
      <c r="A48" s="7" t="s">
        <v>101</v>
      </c>
      <c r="B48" s="7" t="s">
        <v>191</v>
      </c>
      <c r="C48" s="44" t="s">
        <v>197</v>
      </c>
      <c r="D48" s="51">
        <v>145.44</v>
      </c>
      <c r="E48" s="6">
        <v>300</v>
      </c>
      <c r="F48" s="6">
        <f>D48*0.000279</f>
        <v>4.0577759999999997E-2</v>
      </c>
      <c r="G48" s="1115"/>
      <c r="H48" s="1115"/>
      <c r="I48" s="1115"/>
      <c r="J48" s="41" t="s">
        <v>18</v>
      </c>
      <c r="K48" s="9"/>
    </row>
    <row r="49" spans="1:11" ht="15" customHeight="1">
      <c r="A49" s="52" t="s">
        <v>206</v>
      </c>
      <c r="B49" s="52" t="s">
        <v>19</v>
      </c>
      <c r="C49" s="53" t="s">
        <v>175</v>
      </c>
      <c r="D49" s="40">
        <f>707.78-D50</f>
        <v>672.82999999999993</v>
      </c>
      <c r="E49" s="38">
        <v>800</v>
      </c>
      <c r="F49" s="38">
        <f t="shared" ref="F49:F57" si="4">D49/E49</f>
        <v>0.84103749999999988</v>
      </c>
      <c r="G49" s="1117">
        <f>F49+F50</f>
        <v>1.0157874999999998</v>
      </c>
      <c r="H49" s="1117">
        <f>SUM(G49:G59)</f>
        <v>3.1418719133333335</v>
      </c>
      <c r="I49" s="1117">
        <v>3</v>
      </c>
      <c r="J49" s="52" t="s">
        <v>28</v>
      </c>
      <c r="K49" s="9"/>
    </row>
    <row r="50" spans="1:11" ht="15" customHeight="1">
      <c r="A50" s="52" t="s">
        <v>206</v>
      </c>
      <c r="B50" s="52" t="s">
        <v>19</v>
      </c>
      <c r="C50" s="53" t="s">
        <v>176</v>
      </c>
      <c r="D50" s="40">
        <v>34.950000000000003</v>
      </c>
      <c r="E50" s="38">
        <v>200</v>
      </c>
      <c r="F50" s="38">
        <f t="shared" si="4"/>
        <v>0.17475000000000002</v>
      </c>
      <c r="G50" s="1117"/>
      <c r="H50" s="1117"/>
      <c r="I50" s="1117"/>
      <c r="J50" s="52" t="s">
        <v>28</v>
      </c>
      <c r="K50" s="9"/>
    </row>
    <row r="51" spans="1:11" ht="12" customHeight="1">
      <c r="A51" s="52" t="s">
        <v>206</v>
      </c>
      <c r="B51" s="52" t="s">
        <v>22</v>
      </c>
      <c r="C51" s="53" t="s">
        <v>180</v>
      </c>
      <c r="D51" s="6">
        <v>290</v>
      </c>
      <c r="E51" s="38">
        <v>1800</v>
      </c>
      <c r="F51" s="38">
        <f t="shared" si="4"/>
        <v>0.16111111111111112</v>
      </c>
      <c r="G51" s="1117">
        <f>SUM(F51:F57)</f>
        <v>2.0913433333333336</v>
      </c>
      <c r="H51" s="1117"/>
      <c r="I51" s="1117"/>
      <c r="J51" s="52" t="s">
        <v>28</v>
      </c>
      <c r="K51" s="9"/>
    </row>
    <row r="52" spans="1:11" ht="36" customHeight="1">
      <c r="A52" s="52" t="s">
        <v>206</v>
      </c>
      <c r="B52" s="52" t="s">
        <v>22</v>
      </c>
      <c r="C52" s="53" t="s">
        <v>181</v>
      </c>
      <c r="D52" s="5">
        <v>1933</v>
      </c>
      <c r="E52" s="59">
        <v>6000</v>
      </c>
      <c r="F52" s="38">
        <f t="shared" si="4"/>
        <v>0.32216666666666666</v>
      </c>
      <c r="G52" s="1117"/>
      <c r="H52" s="1117"/>
      <c r="I52" s="1117"/>
      <c r="J52" s="52" t="s">
        <v>28</v>
      </c>
      <c r="K52" s="9"/>
    </row>
    <row r="53" spans="1:11" ht="24" customHeight="1">
      <c r="A53" s="52" t="s">
        <v>206</v>
      </c>
      <c r="B53" s="52" t="s">
        <v>22</v>
      </c>
      <c r="C53" s="53" t="s">
        <v>203</v>
      </c>
      <c r="D53" s="6">
        <v>357</v>
      </c>
      <c r="E53" s="38">
        <v>1800</v>
      </c>
      <c r="F53" s="38">
        <f t="shared" si="4"/>
        <v>0.19833333333333333</v>
      </c>
      <c r="G53" s="1117"/>
      <c r="H53" s="1117"/>
      <c r="I53" s="1117"/>
      <c r="J53" s="52" t="s">
        <v>28</v>
      </c>
      <c r="K53" s="9"/>
    </row>
    <row r="54" spans="1:11" ht="24" customHeight="1">
      <c r="A54" s="52" t="s">
        <v>206</v>
      </c>
      <c r="B54" s="52" t="s">
        <v>22</v>
      </c>
      <c r="C54" s="53" t="s">
        <v>183</v>
      </c>
      <c r="D54" s="6">
        <v>930</v>
      </c>
      <c r="E54" s="38">
        <v>1800</v>
      </c>
      <c r="F54" s="38">
        <f t="shared" si="4"/>
        <v>0.51666666666666672</v>
      </c>
      <c r="G54" s="1117"/>
      <c r="H54" s="1117"/>
      <c r="I54" s="1117"/>
      <c r="J54" s="52" t="s">
        <v>28</v>
      </c>
      <c r="K54" s="9"/>
    </row>
    <row r="55" spans="1:11" ht="12" customHeight="1">
      <c r="A55" s="52" t="s">
        <v>206</v>
      </c>
      <c r="B55" s="52" t="s">
        <v>22</v>
      </c>
      <c r="C55" s="53" t="s">
        <v>185</v>
      </c>
      <c r="D55" s="6">
        <v>464</v>
      </c>
      <c r="E55" s="38">
        <v>2700</v>
      </c>
      <c r="F55" s="38">
        <f t="shared" si="4"/>
        <v>0.17185185185185184</v>
      </c>
      <c r="G55" s="1117"/>
      <c r="H55" s="1117"/>
      <c r="I55" s="1117"/>
      <c r="J55" s="52" t="s">
        <v>28</v>
      </c>
      <c r="K55" s="9"/>
    </row>
    <row r="56" spans="1:11" ht="12" customHeight="1">
      <c r="A56" s="52" t="s">
        <v>206</v>
      </c>
      <c r="B56" s="52" t="s">
        <v>22</v>
      </c>
      <c r="C56" s="53" t="s">
        <v>186</v>
      </c>
      <c r="D56" s="5">
        <v>1900</v>
      </c>
      <c r="E56" s="59">
        <v>2700</v>
      </c>
      <c r="F56" s="38">
        <f t="shared" si="4"/>
        <v>0.70370370370370372</v>
      </c>
      <c r="G56" s="1117"/>
      <c r="H56" s="1117"/>
      <c r="I56" s="1117"/>
      <c r="J56" s="52" t="s">
        <v>28</v>
      </c>
      <c r="K56" s="9"/>
    </row>
    <row r="57" spans="1:11" ht="24" customHeight="1">
      <c r="A57" s="52" t="s">
        <v>206</v>
      </c>
      <c r="B57" s="52" t="s">
        <v>22</v>
      </c>
      <c r="C57" s="53" t="s">
        <v>207</v>
      </c>
      <c r="D57" s="5">
        <v>1751</v>
      </c>
      <c r="E57" s="59">
        <v>100000</v>
      </c>
      <c r="F57" s="38">
        <f t="shared" si="4"/>
        <v>1.7510000000000001E-2</v>
      </c>
      <c r="G57" s="1117"/>
      <c r="H57" s="1117"/>
      <c r="I57" s="1117"/>
      <c r="J57" s="52" t="s">
        <v>28</v>
      </c>
      <c r="K57" s="9"/>
    </row>
    <row r="58" spans="1:11" ht="12" customHeight="1">
      <c r="A58" s="52" t="s">
        <v>206</v>
      </c>
      <c r="B58" s="52" t="s">
        <v>189</v>
      </c>
      <c r="C58" s="57" t="s">
        <v>196</v>
      </c>
      <c r="D58" s="73">
        <v>62.26</v>
      </c>
      <c r="E58" s="38">
        <v>300</v>
      </c>
      <c r="F58" s="38">
        <f>D58*0.000279</f>
        <v>1.737054E-2</v>
      </c>
      <c r="G58" s="1117">
        <f>SUM(F58:F59)</f>
        <v>3.4741080000000001E-2</v>
      </c>
      <c r="H58" s="1117"/>
      <c r="I58" s="1117"/>
      <c r="J58" s="52" t="s">
        <v>28</v>
      </c>
      <c r="K58" s="9"/>
    </row>
    <row r="59" spans="1:11" ht="12" customHeight="1">
      <c r="A59" s="52" t="s">
        <v>206</v>
      </c>
      <c r="B59" s="52" t="s">
        <v>191</v>
      </c>
      <c r="C59" s="57" t="s">
        <v>197</v>
      </c>
      <c r="D59" s="73">
        <v>62.26</v>
      </c>
      <c r="E59" s="38">
        <v>300</v>
      </c>
      <c r="F59" s="38">
        <f>D59*0.000279</f>
        <v>1.737054E-2</v>
      </c>
      <c r="G59" s="1117"/>
      <c r="H59" s="1117"/>
      <c r="I59" s="1117"/>
      <c r="J59" s="52" t="s">
        <v>28</v>
      </c>
      <c r="K59" s="9"/>
    </row>
    <row r="60" spans="1:11" ht="12" customHeight="1">
      <c r="A60" s="52" t="s">
        <v>103</v>
      </c>
      <c r="B60" s="52" t="s">
        <v>19</v>
      </c>
      <c r="C60" s="74" t="s">
        <v>175</v>
      </c>
      <c r="D60" s="40">
        <v>177</v>
      </c>
      <c r="E60" s="38">
        <v>800</v>
      </c>
      <c r="F60" s="6">
        <f t="shared" ref="F60:F66" si="5">D60/E60</f>
        <v>0.22125</v>
      </c>
      <c r="G60" s="1117">
        <f>SUM(F60:F61)</f>
        <v>0.27658333333333335</v>
      </c>
      <c r="H60" s="1117">
        <f>SUM(G60:G68)</f>
        <v>0.76116644444444437</v>
      </c>
      <c r="I60" s="1117">
        <v>1</v>
      </c>
      <c r="J60" s="52" t="s">
        <v>28</v>
      </c>
      <c r="K60" s="9"/>
    </row>
    <row r="61" spans="1:11" ht="12" customHeight="1">
      <c r="A61" s="52" t="s">
        <v>103</v>
      </c>
      <c r="B61" s="52" t="s">
        <v>19</v>
      </c>
      <c r="C61" s="75" t="s">
        <v>193</v>
      </c>
      <c r="D61" s="76">
        <v>83</v>
      </c>
      <c r="E61" s="38">
        <v>1500</v>
      </c>
      <c r="F61" s="6">
        <f t="shared" si="5"/>
        <v>5.5333333333333332E-2</v>
      </c>
      <c r="G61" s="1117"/>
      <c r="H61" s="1117"/>
      <c r="I61" s="1117"/>
      <c r="J61" s="52" t="s">
        <v>28</v>
      </c>
      <c r="K61" s="9"/>
    </row>
    <row r="62" spans="1:11" ht="12" customHeight="1">
      <c r="A62" s="52" t="s">
        <v>103</v>
      </c>
      <c r="B62" s="52" t="s">
        <v>22</v>
      </c>
      <c r="C62" s="53" t="s">
        <v>180</v>
      </c>
      <c r="D62" s="6">
        <v>42</v>
      </c>
      <c r="E62" s="38">
        <v>1800</v>
      </c>
      <c r="F62" s="6">
        <f t="shared" si="5"/>
        <v>2.3333333333333334E-2</v>
      </c>
      <c r="G62" s="1117">
        <f>SUM(F62:F66)</f>
        <v>0.46561111111111109</v>
      </c>
      <c r="H62" s="1117"/>
      <c r="I62" s="1117"/>
      <c r="J62" s="52" t="s">
        <v>28</v>
      </c>
      <c r="K62" s="9"/>
    </row>
    <row r="63" spans="1:11" ht="36" customHeight="1">
      <c r="A63" s="52" t="s">
        <v>103</v>
      </c>
      <c r="B63" s="52" t="s">
        <v>22</v>
      </c>
      <c r="C63" s="53" t="s">
        <v>181</v>
      </c>
      <c r="D63" s="5">
        <v>317</v>
      </c>
      <c r="E63" s="59">
        <v>6000</v>
      </c>
      <c r="F63" s="6">
        <f t="shared" si="5"/>
        <v>5.2833333333333336E-2</v>
      </c>
      <c r="G63" s="1117"/>
      <c r="H63" s="1117"/>
      <c r="I63" s="1117"/>
      <c r="J63" s="52" t="s">
        <v>28</v>
      </c>
      <c r="K63" s="9"/>
    </row>
    <row r="64" spans="1:11" ht="24" customHeight="1">
      <c r="A64" s="52" t="s">
        <v>103</v>
      </c>
      <c r="B64" s="52" t="s">
        <v>22</v>
      </c>
      <c r="C64" s="53" t="s">
        <v>203</v>
      </c>
      <c r="D64" s="6">
        <v>360</v>
      </c>
      <c r="E64" s="38">
        <v>1800</v>
      </c>
      <c r="F64" s="6">
        <f t="shared" si="5"/>
        <v>0.2</v>
      </c>
      <c r="G64" s="1117"/>
      <c r="H64" s="1117"/>
      <c r="I64" s="1117"/>
      <c r="J64" s="52" t="s">
        <v>28</v>
      </c>
      <c r="K64" s="9"/>
    </row>
    <row r="65" spans="1:15" ht="24" customHeight="1">
      <c r="A65" s="52" t="s">
        <v>103</v>
      </c>
      <c r="B65" s="52" t="s">
        <v>22</v>
      </c>
      <c r="C65" s="53" t="s">
        <v>183</v>
      </c>
      <c r="D65" s="6">
        <v>225</v>
      </c>
      <c r="E65" s="38">
        <v>1800</v>
      </c>
      <c r="F65" s="6">
        <f t="shared" si="5"/>
        <v>0.125</v>
      </c>
      <c r="G65" s="1117"/>
      <c r="H65" s="1117"/>
      <c r="I65" s="1117"/>
      <c r="J65" s="52" t="s">
        <v>28</v>
      </c>
      <c r="K65" s="9"/>
    </row>
    <row r="66" spans="1:15" ht="12" customHeight="1">
      <c r="A66" s="52" t="s">
        <v>103</v>
      </c>
      <c r="B66" s="52" t="s">
        <v>22</v>
      </c>
      <c r="C66" s="53" t="s">
        <v>185</v>
      </c>
      <c r="D66" s="6">
        <v>174</v>
      </c>
      <c r="E66" s="38">
        <v>2700</v>
      </c>
      <c r="F66" s="6">
        <f t="shared" si="5"/>
        <v>6.4444444444444443E-2</v>
      </c>
      <c r="G66" s="1117"/>
      <c r="H66" s="1117"/>
      <c r="I66" s="1117"/>
      <c r="J66" s="52" t="s">
        <v>28</v>
      </c>
      <c r="K66" s="9"/>
    </row>
    <row r="67" spans="1:15" ht="12" customHeight="1">
      <c r="A67" s="52" t="s">
        <v>103</v>
      </c>
      <c r="B67" s="52" t="s">
        <v>189</v>
      </c>
      <c r="C67" s="57" t="s">
        <v>196</v>
      </c>
      <c r="D67" s="73">
        <v>34</v>
      </c>
      <c r="E67" s="38">
        <v>300</v>
      </c>
      <c r="F67" s="6">
        <f>D67*0.000279</f>
        <v>9.4859999999999996E-3</v>
      </c>
      <c r="G67" s="1117">
        <f>SUM(F67:F68)</f>
        <v>1.8971999999999999E-2</v>
      </c>
      <c r="H67" s="1117"/>
      <c r="I67" s="1117"/>
      <c r="J67" s="52" t="s">
        <v>28</v>
      </c>
      <c r="K67" s="9"/>
    </row>
    <row r="68" spans="1:15" ht="12" customHeight="1">
      <c r="A68" s="52" t="s">
        <v>103</v>
      </c>
      <c r="B68" s="52" t="s">
        <v>191</v>
      </c>
      <c r="C68" s="57" t="s">
        <v>197</v>
      </c>
      <c r="D68" s="73">
        <v>34</v>
      </c>
      <c r="E68" s="38">
        <v>300</v>
      </c>
      <c r="F68" s="6">
        <f>D68*0.000279</f>
        <v>9.4859999999999996E-3</v>
      </c>
      <c r="G68" s="1117"/>
      <c r="H68" s="1117"/>
      <c r="I68" s="1117"/>
      <c r="J68" s="52" t="s">
        <v>28</v>
      </c>
      <c r="K68" s="9"/>
    </row>
    <row r="69" spans="1:15" ht="12" customHeight="1">
      <c r="A69" s="7" t="s">
        <v>208</v>
      </c>
      <c r="B69" s="7" t="s">
        <v>19</v>
      </c>
      <c r="C69" s="39" t="s">
        <v>175</v>
      </c>
      <c r="D69" s="40">
        <f>281-D70</f>
        <v>274.93</v>
      </c>
      <c r="E69" s="6">
        <v>800</v>
      </c>
      <c r="F69" s="6">
        <f>D69/E69</f>
        <v>0.34366249999999998</v>
      </c>
      <c r="G69" s="6">
        <f>F69</f>
        <v>0.34366249999999998</v>
      </c>
      <c r="H69" s="1115">
        <f>SUM(G69:G73)</f>
        <v>0.51072609999999996</v>
      </c>
      <c r="I69" s="1115">
        <v>1</v>
      </c>
      <c r="J69" s="41" t="s">
        <v>28</v>
      </c>
      <c r="K69" s="9"/>
      <c r="O69" s="8" t="s">
        <v>209</v>
      </c>
    </row>
    <row r="70" spans="1:15" ht="12" customHeight="1">
      <c r="A70" s="7" t="s">
        <v>208</v>
      </c>
      <c r="B70" s="7" t="s">
        <v>19</v>
      </c>
      <c r="C70" s="39" t="s">
        <v>176</v>
      </c>
      <c r="D70" s="40">
        <v>6.07</v>
      </c>
      <c r="E70" s="6">
        <v>200</v>
      </c>
      <c r="F70" s="6">
        <f>D70/E70</f>
        <v>3.0350000000000002E-2</v>
      </c>
      <c r="G70" s="6">
        <f>F70</f>
        <v>3.0350000000000002E-2</v>
      </c>
      <c r="H70" s="1115"/>
      <c r="I70" s="1115"/>
      <c r="J70" s="41" t="s">
        <v>28</v>
      </c>
      <c r="K70" s="9"/>
    </row>
    <row r="71" spans="1:15" ht="12" customHeight="1">
      <c r="A71" s="7" t="s">
        <v>208</v>
      </c>
      <c r="B71" s="7" t="s">
        <v>22</v>
      </c>
      <c r="C71" s="39" t="s">
        <v>210</v>
      </c>
      <c r="D71" s="6">
        <v>756</v>
      </c>
      <c r="E71" s="5">
        <v>6000</v>
      </c>
      <c r="F71" s="6">
        <f>D71/E71</f>
        <v>0.126</v>
      </c>
      <c r="G71" s="77">
        <f>F71</f>
        <v>0.126</v>
      </c>
      <c r="H71" s="1115"/>
      <c r="I71" s="1115"/>
      <c r="J71" s="41" t="s">
        <v>28</v>
      </c>
      <c r="K71" s="9"/>
    </row>
    <row r="72" spans="1:15" ht="12" customHeight="1">
      <c r="A72" s="7" t="s">
        <v>208</v>
      </c>
      <c r="B72" s="7" t="s">
        <v>189</v>
      </c>
      <c r="C72" s="44" t="s">
        <v>196</v>
      </c>
      <c r="D72" s="51">
        <v>19.2</v>
      </c>
      <c r="E72" s="6">
        <v>300</v>
      </c>
      <c r="F72" s="6">
        <f>D72*0.000279</f>
        <v>5.3568000000000001E-3</v>
      </c>
      <c r="G72" s="1115">
        <f>SUM(F72:F73)</f>
        <v>1.07136E-2</v>
      </c>
      <c r="H72" s="1115"/>
      <c r="I72" s="1115"/>
      <c r="J72" s="41" t="s">
        <v>28</v>
      </c>
      <c r="K72" s="9"/>
    </row>
    <row r="73" spans="1:15" ht="12" customHeight="1">
      <c r="A73" s="7" t="s">
        <v>208</v>
      </c>
      <c r="B73" s="7" t="s">
        <v>191</v>
      </c>
      <c r="C73" s="44" t="s">
        <v>197</v>
      </c>
      <c r="D73" s="51">
        <v>19.2</v>
      </c>
      <c r="E73" s="6">
        <v>300</v>
      </c>
      <c r="F73" s="6">
        <f>D73*0.000279</f>
        <v>5.3568000000000001E-3</v>
      </c>
      <c r="G73" s="1115"/>
      <c r="H73" s="1115"/>
      <c r="I73" s="1115"/>
      <c r="J73" s="41" t="s">
        <v>28</v>
      </c>
      <c r="K73" s="9"/>
    </row>
    <row r="74" spans="1:15" ht="12" customHeight="1">
      <c r="A74" s="52" t="s">
        <v>211</v>
      </c>
      <c r="B74" s="52" t="s">
        <v>19</v>
      </c>
      <c r="C74" s="53" t="s">
        <v>175</v>
      </c>
      <c r="D74" s="40">
        <v>414</v>
      </c>
      <c r="E74" s="38">
        <v>800</v>
      </c>
      <c r="F74" s="6">
        <f>D74/E74</f>
        <v>0.51749999999999996</v>
      </c>
      <c r="G74" s="38">
        <f>F74</f>
        <v>0.51749999999999996</v>
      </c>
      <c r="H74" s="1117">
        <f>SUM(G74:G75)</f>
        <v>0.54444666666666663</v>
      </c>
      <c r="I74" s="1117">
        <v>1</v>
      </c>
      <c r="J74" s="52" t="s">
        <v>28</v>
      </c>
      <c r="K74" s="9"/>
    </row>
    <row r="75" spans="1:15" ht="36" customHeight="1">
      <c r="A75" s="52" t="s">
        <v>211</v>
      </c>
      <c r="B75" s="52" t="s">
        <v>22</v>
      </c>
      <c r="C75" s="53" t="s">
        <v>210</v>
      </c>
      <c r="D75" s="6">
        <v>161.68</v>
      </c>
      <c r="E75" s="59">
        <v>6000</v>
      </c>
      <c r="F75" s="6">
        <f>D75/E75</f>
        <v>2.6946666666666667E-2</v>
      </c>
      <c r="G75" s="78">
        <f>F75</f>
        <v>2.6946666666666667E-2</v>
      </c>
      <c r="H75" s="1117"/>
      <c r="I75" s="1117"/>
      <c r="J75" s="52" t="s">
        <v>28</v>
      </c>
      <c r="K75" s="9"/>
    </row>
    <row r="76" spans="1:15" ht="12" customHeight="1">
      <c r="A76" s="52" t="s">
        <v>212</v>
      </c>
      <c r="B76" s="52" t="s">
        <v>19</v>
      </c>
      <c r="C76" s="53" t="s">
        <v>175</v>
      </c>
      <c r="D76" s="40">
        <v>134</v>
      </c>
      <c r="E76" s="38">
        <v>800</v>
      </c>
      <c r="F76" s="6">
        <f>D76/E76</f>
        <v>0.16750000000000001</v>
      </c>
      <c r="G76" s="38">
        <f>F76</f>
        <v>0.16750000000000001</v>
      </c>
      <c r="H76" s="1117">
        <f>SUM(G76:G77)</f>
        <v>0.24916666666666668</v>
      </c>
      <c r="I76" s="1117">
        <v>1</v>
      </c>
      <c r="J76" s="52" t="s">
        <v>28</v>
      </c>
      <c r="K76" s="9"/>
    </row>
    <row r="77" spans="1:15" ht="36" customHeight="1">
      <c r="A77" s="52" t="s">
        <v>212</v>
      </c>
      <c r="B77" s="52" t="s">
        <v>22</v>
      </c>
      <c r="C77" s="53" t="s">
        <v>210</v>
      </c>
      <c r="D77" s="6">
        <v>490</v>
      </c>
      <c r="E77" s="59">
        <v>6000</v>
      </c>
      <c r="F77" s="6">
        <f>D77/E77</f>
        <v>8.1666666666666665E-2</v>
      </c>
      <c r="G77" s="78">
        <f>F77</f>
        <v>8.1666666666666665E-2</v>
      </c>
      <c r="H77" s="1117"/>
      <c r="I77" s="1117"/>
      <c r="J77" s="52" t="s">
        <v>28</v>
      </c>
      <c r="K77" s="9"/>
    </row>
    <row r="78" spans="1:15" ht="12.75" customHeight="1">
      <c r="A78" s="1121" t="s">
        <v>98</v>
      </c>
      <c r="B78" s="1121"/>
      <c r="C78" s="1121"/>
      <c r="D78" s="79">
        <f>SUBTOTAL(9,D2:D77)</f>
        <v>46042.430000000015</v>
      </c>
      <c r="E78" s="51"/>
      <c r="F78" s="51"/>
      <c r="G78" s="51"/>
      <c r="H78" s="51">
        <f>SUM(H2:H77)</f>
        <v>21.084281632592592</v>
      </c>
      <c r="I78" s="51">
        <f>SUM(I2:I77)</f>
        <v>24</v>
      </c>
      <c r="J78" s="80"/>
      <c r="K78" s="9"/>
      <c r="L78" s="8">
        <f>3</f>
        <v>3</v>
      </c>
    </row>
  </sheetData>
  <autoFilter ref="A1:J80"/>
  <mergeCells count="45">
    <mergeCell ref="H76:H77"/>
    <mergeCell ref="I76:I77"/>
    <mergeCell ref="A78:C78"/>
    <mergeCell ref="H69:H73"/>
    <mergeCell ref="I69:I73"/>
    <mergeCell ref="G72:G73"/>
    <mergeCell ref="H74:H75"/>
    <mergeCell ref="I74:I75"/>
    <mergeCell ref="G60:G61"/>
    <mergeCell ref="H60:H68"/>
    <mergeCell ref="I60:I68"/>
    <mergeCell ref="G62:G66"/>
    <mergeCell ref="G67:G68"/>
    <mergeCell ref="G49:G50"/>
    <mergeCell ref="H49:H59"/>
    <mergeCell ref="I49:I59"/>
    <mergeCell ref="G51:G57"/>
    <mergeCell ref="G58:G59"/>
    <mergeCell ref="H33:H36"/>
    <mergeCell ref="I33:I36"/>
    <mergeCell ref="G35:G36"/>
    <mergeCell ref="G37:G40"/>
    <mergeCell ref="H37:H48"/>
    <mergeCell ref="I37:I48"/>
    <mergeCell ref="G41:G46"/>
    <mergeCell ref="G47:G48"/>
    <mergeCell ref="M23:N23"/>
    <mergeCell ref="G24:G27"/>
    <mergeCell ref="H24:H32"/>
    <mergeCell ref="I24:I32"/>
    <mergeCell ref="M26:P26"/>
    <mergeCell ref="G28:G30"/>
    <mergeCell ref="M28:P30"/>
    <mergeCell ref="G31:G32"/>
    <mergeCell ref="G16:G17"/>
    <mergeCell ref="H16:H23"/>
    <mergeCell ref="I16:I23"/>
    <mergeCell ref="G19:G21"/>
    <mergeCell ref="G22:G23"/>
    <mergeCell ref="G2:G6"/>
    <mergeCell ref="H2:H15"/>
    <mergeCell ref="I2:I15"/>
    <mergeCell ref="G7:G13"/>
    <mergeCell ref="M12:N12"/>
    <mergeCell ref="G14:G15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HY32"/>
  <sheetViews>
    <sheetView showGridLines="0" zoomScalePageLayoutView="60" workbookViewId="0">
      <pane ySplit="2" topLeftCell="A12" activePane="bottomLeft" state="frozen"/>
      <selection pane="bottomLeft" activeCell="N7" sqref="N7"/>
    </sheetView>
  </sheetViews>
  <sheetFormatPr defaultColWidth="9.109375" defaultRowHeight="13.8"/>
  <cols>
    <col min="1" max="1" width="4.77734375" style="204" customWidth="1"/>
    <col min="2" max="2" width="11.21875" style="204" customWidth="1"/>
    <col min="3" max="3" width="5.6640625" style="204"/>
    <col min="4" max="4" width="41.33203125" style="204" customWidth="1"/>
    <col min="5" max="5" width="10.33203125" style="204" customWidth="1"/>
    <col min="6" max="6" width="8.109375" style="204" customWidth="1"/>
    <col min="7" max="7" width="9.5546875" style="204" customWidth="1"/>
    <col min="8" max="8" width="11.5546875" style="741" customWidth="1"/>
    <col min="9" max="9" width="11.88671875" style="742" customWidth="1"/>
    <col min="10" max="233" width="9.109375" style="204"/>
    <col min="234" max="16384" width="9.109375" style="81"/>
  </cols>
  <sheetData>
    <row r="1" spans="1:9" ht="28.2" customHeight="1">
      <c r="A1" s="1136" t="s">
        <v>594</v>
      </c>
      <c r="B1" s="1136"/>
      <c r="C1" s="1136"/>
      <c r="D1" s="1136"/>
      <c r="E1" s="1136"/>
      <c r="F1" s="1136"/>
      <c r="G1" s="1136"/>
      <c r="H1" s="1136"/>
      <c r="I1" s="1136"/>
    </row>
    <row r="2" spans="1:9" ht="40.799999999999997" customHeight="1">
      <c r="A2" s="1139" t="s">
        <v>674</v>
      </c>
      <c r="B2" s="1140"/>
      <c r="C2" s="1140"/>
      <c r="D2" s="1140"/>
      <c r="E2" s="1140"/>
      <c r="F2" s="1140"/>
      <c r="G2" s="1141"/>
      <c r="H2" s="1137" t="s">
        <v>580</v>
      </c>
      <c r="I2" s="1138"/>
    </row>
    <row r="3" spans="1:9" ht="48.6" customHeight="1">
      <c r="A3" s="591" t="s">
        <v>0</v>
      </c>
      <c r="B3" s="591" t="s">
        <v>136</v>
      </c>
      <c r="C3" s="1132" t="s">
        <v>1</v>
      </c>
      <c r="D3" s="1133"/>
      <c r="E3" s="592" t="s">
        <v>100</v>
      </c>
      <c r="F3" s="592" t="s">
        <v>572</v>
      </c>
      <c r="G3" s="644" t="s">
        <v>558</v>
      </c>
      <c r="H3" s="732" t="s">
        <v>467</v>
      </c>
      <c r="I3" s="732" t="s">
        <v>595</v>
      </c>
    </row>
    <row r="4" spans="1:9" ht="27.6">
      <c r="A4" s="1142">
        <v>1</v>
      </c>
      <c r="B4" s="1134" t="s">
        <v>141</v>
      </c>
      <c r="C4" s="585">
        <v>1</v>
      </c>
      <c r="D4" s="586" t="s">
        <v>142</v>
      </c>
      <c r="E4" s="587" t="s">
        <v>143</v>
      </c>
      <c r="F4" s="587">
        <v>4</v>
      </c>
      <c r="G4" s="583">
        <v>12</v>
      </c>
      <c r="H4" s="733">
        <v>0</v>
      </c>
      <c r="I4" s="734">
        <f>G4*H4</f>
        <v>0</v>
      </c>
    </row>
    <row r="5" spans="1:9">
      <c r="A5" s="1143"/>
      <c r="B5" s="1134"/>
      <c r="C5" s="585">
        <v>2</v>
      </c>
      <c r="D5" s="586" t="s">
        <v>144</v>
      </c>
      <c r="E5" s="587" t="s">
        <v>143</v>
      </c>
      <c r="F5" s="587">
        <v>3</v>
      </c>
      <c r="G5" s="583">
        <v>11</v>
      </c>
      <c r="H5" s="733">
        <v>0</v>
      </c>
      <c r="I5" s="734">
        <f t="shared" ref="I5:I8" si="0">G5*H5</f>
        <v>0</v>
      </c>
    </row>
    <row r="6" spans="1:9" ht="41.4">
      <c r="A6" s="1143"/>
      <c r="B6" s="1134"/>
      <c r="C6" s="585">
        <v>3</v>
      </c>
      <c r="D6" s="586" t="s">
        <v>155</v>
      </c>
      <c r="E6" s="587" t="s">
        <v>146</v>
      </c>
      <c r="F6" s="587">
        <v>2</v>
      </c>
      <c r="G6" s="583">
        <v>6</v>
      </c>
      <c r="H6" s="733">
        <v>0</v>
      </c>
      <c r="I6" s="734">
        <f t="shared" si="0"/>
        <v>0</v>
      </c>
    </row>
    <row r="7" spans="1:9">
      <c r="A7" s="1143"/>
      <c r="B7" s="1135"/>
      <c r="C7" s="588">
        <v>4</v>
      </c>
      <c r="D7" s="589" t="s">
        <v>148</v>
      </c>
      <c r="E7" s="587" t="s">
        <v>146</v>
      </c>
      <c r="F7" s="587">
        <v>4</v>
      </c>
      <c r="G7" s="583">
        <v>12</v>
      </c>
      <c r="H7" s="733">
        <v>0</v>
      </c>
      <c r="I7" s="734">
        <f t="shared" ref="I7" si="1">G7*H7</f>
        <v>0</v>
      </c>
    </row>
    <row r="8" spans="1:9">
      <c r="A8" s="1143"/>
      <c r="B8" s="1134"/>
      <c r="C8" s="831">
        <v>5</v>
      </c>
      <c r="D8" s="841" t="s">
        <v>147</v>
      </c>
      <c r="E8" s="833" t="s">
        <v>146</v>
      </c>
      <c r="F8" s="833">
        <v>1</v>
      </c>
      <c r="G8" s="834">
        <v>2</v>
      </c>
      <c r="H8" s="835">
        <v>0</v>
      </c>
      <c r="I8" s="734">
        <f t="shared" si="0"/>
        <v>0</v>
      </c>
    </row>
    <row r="9" spans="1:9">
      <c r="A9" s="1143"/>
      <c r="B9" s="1134"/>
      <c r="C9" s="1128" t="s">
        <v>568</v>
      </c>
      <c r="D9" s="1128"/>
      <c r="E9" s="1128"/>
      <c r="F9" s="1128"/>
      <c r="G9" s="1128"/>
      <c r="H9" s="1128"/>
      <c r="I9" s="840">
        <f>SUM(I4:I8)</f>
        <v>0</v>
      </c>
    </row>
    <row r="10" spans="1:9">
      <c r="A10" s="1143"/>
      <c r="B10" s="1134"/>
      <c r="C10" s="1129" t="s">
        <v>395</v>
      </c>
      <c r="D10" s="1130"/>
      <c r="E10" s="1130"/>
      <c r="F10" s="1130"/>
      <c r="G10" s="1130"/>
      <c r="H10" s="1131"/>
      <c r="I10" s="735">
        <f>I9/60</f>
        <v>0</v>
      </c>
    </row>
    <row r="11" spans="1:9" ht="41.4">
      <c r="A11" s="1143"/>
      <c r="B11" s="1135" t="s">
        <v>151</v>
      </c>
      <c r="C11" s="588">
        <v>1</v>
      </c>
      <c r="D11" s="586" t="s">
        <v>152</v>
      </c>
      <c r="E11" s="587" t="s">
        <v>143</v>
      </c>
      <c r="F11" s="587">
        <v>3</v>
      </c>
      <c r="G11" s="583">
        <v>11</v>
      </c>
      <c r="H11" s="733">
        <v>0</v>
      </c>
      <c r="I11" s="734">
        <f>G11*H11</f>
        <v>0</v>
      </c>
    </row>
    <row r="12" spans="1:9" ht="27.6">
      <c r="A12" s="1143"/>
      <c r="B12" s="1135"/>
      <c r="C12" s="588">
        <v>2</v>
      </c>
      <c r="D12" s="586" t="s">
        <v>153</v>
      </c>
      <c r="E12" s="587" t="s">
        <v>143</v>
      </c>
      <c r="F12" s="587">
        <v>2</v>
      </c>
      <c r="G12" s="583">
        <v>6</v>
      </c>
      <c r="H12" s="733">
        <v>0</v>
      </c>
      <c r="I12" s="734">
        <f t="shared" ref="I12:I16" si="2">G12*H12</f>
        <v>0</v>
      </c>
    </row>
    <row r="13" spans="1:9">
      <c r="A13" s="1143"/>
      <c r="B13" s="1135"/>
      <c r="C13" s="588">
        <v>3</v>
      </c>
      <c r="D13" s="586" t="s">
        <v>154</v>
      </c>
      <c r="E13" s="587" t="s">
        <v>143</v>
      </c>
      <c r="F13" s="587">
        <v>3</v>
      </c>
      <c r="G13" s="583">
        <v>11</v>
      </c>
      <c r="H13" s="733">
        <v>0</v>
      </c>
      <c r="I13" s="734">
        <f t="shared" si="2"/>
        <v>0</v>
      </c>
    </row>
    <row r="14" spans="1:9" ht="41.4">
      <c r="A14" s="1143"/>
      <c r="B14" s="1135"/>
      <c r="C14" s="588">
        <v>4</v>
      </c>
      <c r="D14" s="586" t="s">
        <v>155</v>
      </c>
      <c r="E14" s="587" t="s">
        <v>146</v>
      </c>
      <c r="F14" s="587">
        <v>2</v>
      </c>
      <c r="G14" s="583">
        <v>6</v>
      </c>
      <c r="H14" s="733">
        <v>0</v>
      </c>
      <c r="I14" s="734">
        <f t="shared" si="2"/>
        <v>0</v>
      </c>
    </row>
    <row r="15" spans="1:9">
      <c r="A15" s="1143"/>
      <c r="B15" s="1135"/>
      <c r="C15" s="588">
        <v>5</v>
      </c>
      <c r="D15" s="586" t="s">
        <v>148</v>
      </c>
      <c r="E15" s="587" t="s">
        <v>146</v>
      </c>
      <c r="F15" s="587">
        <v>4</v>
      </c>
      <c r="G15" s="583">
        <v>12</v>
      </c>
      <c r="H15" s="733">
        <v>0</v>
      </c>
      <c r="I15" s="734">
        <f t="shared" si="2"/>
        <v>0</v>
      </c>
    </row>
    <row r="16" spans="1:9">
      <c r="A16" s="1143"/>
      <c r="B16" s="1135"/>
      <c r="C16" s="588">
        <v>6</v>
      </c>
      <c r="D16" s="586" t="s">
        <v>559</v>
      </c>
      <c r="E16" s="587" t="s">
        <v>143</v>
      </c>
      <c r="F16" s="587">
        <v>1</v>
      </c>
      <c r="G16" s="583">
        <v>2</v>
      </c>
      <c r="H16" s="733">
        <v>0</v>
      </c>
      <c r="I16" s="734">
        <f t="shared" si="2"/>
        <v>0</v>
      </c>
    </row>
    <row r="17" spans="1:9">
      <c r="A17" s="1143"/>
      <c r="B17" s="1135"/>
      <c r="C17" s="831">
        <v>7</v>
      </c>
      <c r="D17" s="832" t="s">
        <v>147</v>
      </c>
      <c r="E17" s="833" t="s">
        <v>146</v>
      </c>
      <c r="F17" s="833">
        <v>1</v>
      </c>
      <c r="G17" s="834">
        <v>2</v>
      </c>
      <c r="H17" s="835">
        <v>0</v>
      </c>
      <c r="I17" s="734">
        <f t="shared" ref="I17" si="3">G17*H17</f>
        <v>0</v>
      </c>
    </row>
    <row r="18" spans="1:9" ht="18" customHeight="1">
      <c r="A18" s="1143"/>
      <c r="B18" s="1135"/>
      <c r="C18" s="1123" t="s">
        <v>569</v>
      </c>
      <c r="D18" s="1123"/>
      <c r="E18" s="1123"/>
      <c r="F18" s="1123"/>
      <c r="G18" s="1123"/>
      <c r="H18" s="1123"/>
      <c r="I18" s="830">
        <f>SUM(I11:I17)</f>
        <v>0</v>
      </c>
    </row>
    <row r="19" spans="1:9" ht="18" customHeight="1">
      <c r="A19" s="1143"/>
      <c r="B19" s="1135"/>
      <c r="C19" s="1124" t="s">
        <v>394</v>
      </c>
      <c r="D19" s="1125"/>
      <c r="E19" s="1125"/>
      <c r="F19" s="1125"/>
      <c r="G19" s="1125"/>
      <c r="H19" s="1126"/>
      <c r="I19" s="736">
        <f>I18/60</f>
        <v>0</v>
      </c>
    </row>
    <row r="20" spans="1:9" ht="21" customHeight="1">
      <c r="A20" s="1144"/>
      <c r="B20" s="1135"/>
      <c r="C20" s="1147" t="s">
        <v>578</v>
      </c>
      <c r="D20" s="1148"/>
      <c r="E20" s="1148"/>
      <c r="F20" s="1148"/>
      <c r="G20" s="1148"/>
      <c r="H20" s="1149"/>
      <c r="I20" s="737">
        <f>(I19+I10)/2</f>
        <v>0</v>
      </c>
    </row>
    <row r="21" spans="1:9" ht="41.4" customHeight="1">
      <c r="A21" s="1122">
        <v>2</v>
      </c>
      <c r="B21" s="1153" t="s">
        <v>160</v>
      </c>
      <c r="C21" s="580">
        <v>1</v>
      </c>
      <c r="D21" s="581" t="s">
        <v>325</v>
      </c>
      <c r="E21" s="582" t="s">
        <v>143</v>
      </c>
      <c r="F21" s="582">
        <v>4</v>
      </c>
      <c r="G21" s="584">
        <v>12</v>
      </c>
      <c r="H21" s="738">
        <v>0</v>
      </c>
      <c r="I21" s="739">
        <f>G21*H21</f>
        <v>0</v>
      </c>
    </row>
    <row r="22" spans="1:9" ht="27" customHeight="1">
      <c r="A22" s="1122"/>
      <c r="B22" s="1154"/>
      <c r="C22" s="207">
        <v>2</v>
      </c>
      <c r="D22" s="205" t="s">
        <v>326</v>
      </c>
      <c r="E22" s="206" t="s">
        <v>143</v>
      </c>
      <c r="F22" s="206">
        <v>3</v>
      </c>
      <c r="G22" s="583">
        <v>11</v>
      </c>
      <c r="H22" s="733">
        <v>0</v>
      </c>
      <c r="I22" s="734">
        <f t="shared" ref="I22:I25" si="4">G22*H22</f>
        <v>0</v>
      </c>
    </row>
    <row r="23" spans="1:9" ht="28.95" customHeight="1">
      <c r="A23" s="1122"/>
      <c r="B23" s="1154"/>
      <c r="C23" s="207">
        <v>3</v>
      </c>
      <c r="D23" s="205" t="s">
        <v>163</v>
      </c>
      <c r="E23" s="206" t="s">
        <v>146</v>
      </c>
      <c r="F23" s="206">
        <v>2</v>
      </c>
      <c r="G23" s="583">
        <v>6</v>
      </c>
      <c r="H23" s="733">
        <v>0</v>
      </c>
      <c r="I23" s="734">
        <f t="shared" si="4"/>
        <v>0</v>
      </c>
    </row>
    <row r="24" spans="1:9" ht="15" customHeight="1">
      <c r="A24" s="1122"/>
      <c r="B24" s="1154"/>
      <c r="C24" s="207">
        <v>4</v>
      </c>
      <c r="D24" s="205" t="s">
        <v>148</v>
      </c>
      <c r="E24" s="206" t="s">
        <v>146</v>
      </c>
      <c r="F24" s="206">
        <v>4</v>
      </c>
      <c r="G24" s="583">
        <v>12</v>
      </c>
      <c r="H24" s="733">
        <v>0</v>
      </c>
      <c r="I24" s="734">
        <f t="shared" si="4"/>
        <v>0</v>
      </c>
    </row>
    <row r="25" spans="1:9" ht="15" customHeight="1">
      <c r="A25" s="1122"/>
      <c r="B25" s="1154"/>
      <c r="C25" s="837">
        <v>5</v>
      </c>
      <c r="D25" s="838" t="s">
        <v>156</v>
      </c>
      <c r="E25" s="839" t="s">
        <v>143</v>
      </c>
      <c r="F25" s="839">
        <v>1</v>
      </c>
      <c r="G25" s="834">
        <v>2</v>
      </c>
      <c r="H25" s="835">
        <v>0</v>
      </c>
      <c r="I25" s="734">
        <f t="shared" si="4"/>
        <v>0</v>
      </c>
    </row>
    <row r="26" spans="1:9" ht="21.6" customHeight="1">
      <c r="A26" s="1122"/>
      <c r="B26" s="1154"/>
      <c r="C26" s="1127" t="s">
        <v>570</v>
      </c>
      <c r="D26" s="1127"/>
      <c r="E26" s="1127"/>
      <c r="F26" s="1127"/>
      <c r="G26" s="1127"/>
      <c r="H26" s="1127"/>
      <c r="I26" s="836">
        <f>SUM(I21:I25)</f>
        <v>0</v>
      </c>
    </row>
    <row r="27" spans="1:9" ht="22.2" customHeight="1">
      <c r="A27" s="1122"/>
      <c r="B27" s="1155"/>
      <c r="C27" s="1150" t="s">
        <v>393</v>
      </c>
      <c r="D27" s="1151"/>
      <c r="E27" s="1151"/>
      <c r="F27" s="1151"/>
      <c r="G27" s="1151"/>
      <c r="H27" s="1152"/>
      <c r="I27" s="740">
        <f>I26/60</f>
        <v>0</v>
      </c>
    </row>
    <row r="28" spans="1:9" ht="19.95" customHeight="1">
      <c r="A28" s="1146"/>
      <c r="B28" s="1146"/>
      <c r="C28" s="1146"/>
      <c r="D28" s="1146"/>
      <c r="E28" s="1146"/>
      <c r="F28" s="1146"/>
      <c r="G28" s="1146"/>
      <c r="H28" s="1146"/>
      <c r="I28" s="1146"/>
    </row>
    <row r="29" spans="1:9" ht="19.95" customHeight="1">
      <c r="A29" s="1145"/>
      <c r="B29" s="1145"/>
      <c r="C29" s="1145"/>
      <c r="D29" s="1145"/>
      <c r="E29" s="1145"/>
      <c r="F29" s="1145"/>
      <c r="G29" s="1145"/>
      <c r="H29" s="1145"/>
      <c r="I29" s="1145"/>
    </row>
    <row r="30" spans="1:9" ht="19.95" customHeight="1">
      <c r="A30" s="1145"/>
      <c r="B30" s="1145"/>
      <c r="C30" s="1145"/>
      <c r="D30" s="1145"/>
      <c r="E30" s="1145"/>
      <c r="F30" s="1145"/>
      <c r="G30" s="1145"/>
      <c r="H30" s="1145"/>
      <c r="I30" s="1145"/>
    </row>
    <row r="31" spans="1:9" ht="19.95" customHeight="1">
      <c r="A31" s="1145"/>
      <c r="B31" s="1145"/>
      <c r="C31" s="1145"/>
      <c r="D31" s="1145"/>
      <c r="E31" s="1145"/>
      <c r="F31" s="1145"/>
      <c r="G31" s="1145"/>
      <c r="H31" s="1145"/>
      <c r="I31" s="1145"/>
    </row>
    <row r="32" spans="1:9" ht="49.5" customHeight="1"/>
  </sheetData>
  <mergeCells count="20">
    <mergeCell ref="A29:I29"/>
    <mergeCell ref="A30:I30"/>
    <mergeCell ref="A31:I31"/>
    <mergeCell ref="A28:I28"/>
    <mergeCell ref="C20:H20"/>
    <mergeCell ref="C27:H27"/>
    <mergeCell ref="B21:B27"/>
    <mergeCell ref="C3:D3"/>
    <mergeCell ref="B4:B10"/>
    <mergeCell ref="A1:I1"/>
    <mergeCell ref="H2:I2"/>
    <mergeCell ref="A2:G2"/>
    <mergeCell ref="A4:A20"/>
    <mergeCell ref="A21:A27"/>
    <mergeCell ref="C18:H18"/>
    <mergeCell ref="C19:H19"/>
    <mergeCell ref="C26:H26"/>
    <mergeCell ref="C9:H9"/>
    <mergeCell ref="C10:H10"/>
    <mergeCell ref="B11:B20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75" firstPageNumber="0" orientation="landscape" r:id="rId1"/>
  <ignoredErrors>
    <ignoredError sqref="I9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V67"/>
  <sheetViews>
    <sheetView showGridLines="0" zoomScale="90" zoomScaleNormal="90" zoomScalePageLayoutView="60" workbookViewId="0">
      <pane ySplit="1" topLeftCell="A47" activePane="bottomLeft" state="frozen"/>
      <selection pane="bottomLeft" activeCell="B53" sqref="B53:B54"/>
    </sheetView>
  </sheetViews>
  <sheetFormatPr defaultColWidth="8.88671875" defaultRowHeight="14.4"/>
  <cols>
    <col min="1" max="1" width="6.33203125" style="81" customWidth="1"/>
    <col min="2" max="2" width="45.44140625" style="103" customWidth="1"/>
    <col min="3" max="3" width="10.44140625" style="104" customWidth="1"/>
    <col min="4" max="8" width="0" style="81" hidden="1" customWidth="1"/>
    <col min="9" max="9" width="3.6640625" style="81" hidden="1" customWidth="1"/>
    <col min="10" max="10" width="8.44140625" style="81" customWidth="1"/>
    <col min="11" max="11" width="20.44140625" style="104" hidden="1" customWidth="1"/>
    <col min="12" max="12" width="18.6640625" style="104" hidden="1" customWidth="1"/>
    <col min="13" max="13" width="18.5546875" style="104" hidden="1" customWidth="1"/>
    <col min="14" max="14" width="1.33203125" style="81" hidden="1" customWidth="1"/>
    <col min="15" max="15" width="11.6640625" style="104" hidden="1" customWidth="1"/>
    <col min="16" max="16" width="13.6640625" style="104" hidden="1" customWidth="1"/>
    <col min="17" max="17" width="11.6640625" style="104" hidden="1" customWidth="1"/>
    <col min="18" max="18" width="12.44140625" style="105" customWidth="1"/>
    <col min="19" max="19" width="11.33203125" style="106" customWidth="1"/>
    <col min="20" max="20" width="9.5546875" style="102" hidden="1" customWidth="1"/>
    <col min="21" max="21" width="9.44140625" style="102" hidden="1" customWidth="1"/>
    <col min="23" max="16384" width="8.88671875" style="81"/>
  </cols>
  <sheetData>
    <row r="1" spans="1:22" ht="43.2" customHeight="1">
      <c r="A1" s="1186" t="s">
        <v>227</v>
      </c>
      <c r="B1" s="1187"/>
      <c r="C1" s="1187"/>
      <c r="D1" s="1187"/>
      <c r="E1" s="1187"/>
      <c r="F1" s="1187"/>
      <c r="G1" s="1187"/>
      <c r="H1" s="1187"/>
      <c r="I1" s="1187"/>
      <c r="J1" s="1187"/>
      <c r="K1" s="1180" t="s">
        <v>299</v>
      </c>
      <c r="L1" s="1181"/>
      <c r="M1" s="1181"/>
      <c r="N1" s="1181"/>
      <c r="O1" s="1181"/>
      <c r="P1" s="1181"/>
      <c r="Q1" s="1182"/>
      <c r="R1" s="1178" t="s">
        <v>315</v>
      </c>
      <c r="S1" s="1179"/>
      <c r="T1" s="1174" t="s">
        <v>228</v>
      </c>
      <c r="U1" s="1175"/>
    </row>
    <row r="2" spans="1:22" s="84" customFormat="1" ht="41.25" customHeight="1">
      <c r="A2" s="124" t="s">
        <v>0</v>
      </c>
      <c r="B2" s="124" t="s">
        <v>99</v>
      </c>
      <c r="C2" s="124" t="s">
        <v>100</v>
      </c>
      <c r="D2" s="124"/>
      <c r="E2" s="124"/>
      <c r="F2" s="124"/>
      <c r="G2" s="124"/>
      <c r="H2" s="124"/>
      <c r="I2" s="124"/>
      <c r="J2" s="141" t="s">
        <v>104</v>
      </c>
      <c r="K2" s="1183"/>
      <c r="L2" s="1184"/>
      <c r="M2" s="1184"/>
      <c r="N2" s="1184"/>
      <c r="O2" s="1184"/>
      <c r="P2" s="1184"/>
      <c r="Q2" s="1185"/>
      <c r="R2" s="82" t="s">
        <v>229</v>
      </c>
      <c r="S2" s="82" t="s">
        <v>84</v>
      </c>
      <c r="T2" s="83" t="s">
        <v>229</v>
      </c>
      <c r="U2" s="83" t="s">
        <v>84</v>
      </c>
      <c r="V2"/>
    </row>
    <row r="3" spans="1:22" s="84" customFormat="1" ht="22.95" customHeight="1">
      <c r="A3" s="1165">
        <v>1</v>
      </c>
      <c r="B3" s="1161" t="s">
        <v>105</v>
      </c>
      <c r="C3" s="1163" t="s">
        <v>106</v>
      </c>
      <c r="D3" s="85"/>
      <c r="E3" s="85"/>
      <c r="F3" s="85"/>
      <c r="G3" s="85"/>
      <c r="H3" s="85"/>
      <c r="I3" s="85"/>
      <c r="J3" s="1165">
        <f>SUM(D4:I4)</f>
        <v>1</v>
      </c>
      <c r="K3" s="169" t="s">
        <v>230</v>
      </c>
      <c r="L3" s="169" t="s">
        <v>231</v>
      </c>
      <c r="M3" s="169" t="s">
        <v>232</v>
      </c>
      <c r="N3" s="170"/>
      <c r="O3" s="169" t="s">
        <v>233</v>
      </c>
      <c r="P3" s="169" t="s">
        <v>298</v>
      </c>
      <c r="Q3" s="169" t="s">
        <v>300</v>
      </c>
      <c r="R3" s="1167"/>
      <c r="S3" s="1156">
        <f>TRUNC(R3*J3,2)</f>
        <v>0</v>
      </c>
      <c r="T3" s="1176">
        <v>569.29999999999995</v>
      </c>
      <c r="U3" s="1177">
        <f>J3*T3</f>
        <v>569.29999999999995</v>
      </c>
      <c r="V3"/>
    </row>
    <row r="4" spans="1:22" ht="37.200000000000003" customHeight="1">
      <c r="A4" s="1166"/>
      <c r="B4" s="1162"/>
      <c r="C4" s="1164"/>
      <c r="D4" s="86">
        <v>1</v>
      </c>
      <c r="E4" s="86">
        <v>0</v>
      </c>
      <c r="F4" s="86">
        <v>0</v>
      </c>
      <c r="G4" s="86">
        <v>0</v>
      </c>
      <c r="H4" s="86">
        <v>0</v>
      </c>
      <c r="I4" s="86">
        <v>0</v>
      </c>
      <c r="J4" s="1166"/>
      <c r="K4" s="88">
        <v>539</v>
      </c>
      <c r="L4" s="88">
        <v>589</v>
      </c>
      <c r="M4" s="88">
        <v>579.9</v>
      </c>
      <c r="N4" s="125">
        <f>J3*M4</f>
        <v>579.9</v>
      </c>
      <c r="O4" s="88">
        <v>400</v>
      </c>
      <c r="P4" s="145">
        <v>1650</v>
      </c>
      <c r="Q4" s="88">
        <v>620</v>
      </c>
      <c r="R4" s="1167"/>
      <c r="S4" s="1156"/>
      <c r="T4" s="1176"/>
      <c r="U4" s="1177"/>
    </row>
    <row r="5" spans="1:22" ht="19.95" customHeight="1">
      <c r="A5" s="1157">
        <v>2</v>
      </c>
      <c r="B5" s="1159" t="s">
        <v>107</v>
      </c>
      <c r="C5" s="1170" t="s">
        <v>106</v>
      </c>
      <c r="D5" s="87"/>
      <c r="E5" s="87"/>
      <c r="F5" s="87"/>
      <c r="G5" s="87"/>
      <c r="H5" s="87"/>
      <c r="I5" s="87"/>
      <c r="J5" s="1157">
        <f>SUM(D6:I6)</f>
        <v>5</v>
      </c>
      <c r="K5" s="152" t="s">
        <v>234</v>
      </c>
      <c r="L5" s="152" t="s">
        <v>235</v>
      </c>
      <c r="M5" s="152" t="s">
        <v>231</v>
      </c>
      <c r="N5" s="151"/>
      <c r="O5" s="152" t="s">
        <v>233</v>
      </c>
      <c r="P5" s="152" t="s">
        <v>298</v>
      </c>
      <c r="Q5" s="152" t="s">
        <v>300</v>
      </c>
      <c r="R5" s="1167"/>
      <c r="S5" s="1156">
        <f>TRUNC(R5*J5,2)</f>
        <v>0</v>
      </c>
      <c r="T5" s="1176">
        <v>109.23</v>
      </c>
      <c r="U5" s="1177">
        <f>J5*T5</f>
        <v>546.15</v>
      </c>
    </row>
    <row r="6" spans="1:22" ht="17.399999999999999" customHeight="1">
      <c r="A6" s="1158"/>
      <c r="B6" s="1160"/>
      <c r="C6" s="1171"/>
      <c r="D6" s="87">
        <v>1</v>
      </c>
      <c r="E6" s="87">
        <v>1</v>
      </c>
      <c r="F6" s="87">
        <v>1</v>
      </c>
      <c r="G6" s="87">
        <v>1</v>
      </c>
      <c r="H6" s="87">
        <v>0</v>
      </c>
      <c r="I6" s="87">
        <v>1</v>
      </c>
      <c r="J6" s="1158"/>
      <c r="K6" s="126">
        <v>89.9</v>
      </c>
      <c r="L6" s="126">
        <v>118.8</v>
      </c>
      <c r="M6" s="126">
        <v>119</v>
      </c>
      <c r="N6" s="127"/>
      <c r="O6" s="126">
        <v>120</v>
      </c>
      <c r="P6" s="126">
        <v>220</v>
      </c>
      <c r="Q6" s="126">
        <v>89</v>
      </c>
      <c r="R6" s="1167"/>
      <c r="S6" s="1156"/>
      <c r="T6" s="1176"/>
      <c r="U6" s="1177"/>
    </row>
    <row r="7" spans="1:22" ht="28.2" customHeight="1">
      <c r="A7" s="1157">
        <v>4</v>
      </c>
      <c r="B7" s="1188" t="s">
        <v>108</v>
      </c>
      <c r="C7" s="1170" t="s">
        <v>106</v>
      </c>
      <c r="D7" s="87"/>
      <c r="E7" s="87"/>
      <c r="F7" s="87"/>
      <c r="G7" s="87"/>
      <c r="H7" s="87"/>
      <c r="I7" s="87"/>
      <c r="J7" s="1157">
        <v>2</v>
      </c>
      <c r="K7" s="152" t="s">
        <v>236</v>
      </c>
      <c r="L7" s="152" t="s">
        <v>237</v>
      </c>
      <c r="M7" s="152" t="s">
        <v>238</v>
      </c>
      <c r="N7" s="151"/>
      <c r="O7" s="152" t="s">
        <v>233</v>
      </c>
      <c r="P7" s="152" t="s">
        <v>298</v>
      </c>
      <c r="Q7" s="152" t="s">
        <v>300</v>
      </c>
      <c r="R7" s="1167"/>
      <c r="S7" s="1156">
        <f>TRUNC(R7*J7,2)</f>
        <v>0</v>
      </c>
      <c r="T7" s="1176">
        <v>1006.32</v>
      </c>
      <c r="U7" s="1177">
        <f>J7*T7</f>
        <v>2012.64</v>
      </c>
    </row>
    <row r="8" spans="1:22" ht="158.4" customHeight="1">
      <c r="A8" s="1158"/>
      <c r="B8" s="1189"/>
      <c r="C8" s="1171"/>
      <c r="D8" s="87">
        <v>3</v>
      </c>
      <c r="E8" s="87">
        <v>0</v>
      </c>
      <c r="F8" s="87">
        <v>1</v>
      </c>
      <c r="G8" s="87">
        <v>1</v>
      </c>
      <c r="H8" s="87">
        <v>0</v>
      </c>
      <c r="I8" s="87">
        <v>0</v>
      </c>
      <c r="J8" s="1158"/>
      <c r="K8" s="126">
        <v>1215.9000000000001</v>
      </c>
      <c r="L8" s="126">
        <v>854.05</v>
      </c>
      <c r="M8" s="126">
        <v>949</v>
      </c>
      <c r="N8" s="127"/>
      <c r="O8" s="126">
        <v>1100</v>
      </c>
      <c r="P8" s="126">
        <v>1050</v>
      </c>
      <c r="Q8" s="126">
        <v>999</v>
      </c>
      <c r="R8" s="1167"/>
      <c r="S8" s="1156"/>
      <c r="T8" s="1176"/>
      <c r="U8" s="1177"/>
    </row>
    <row r="9" spans="1:22" ht="24.6" customHeight="1">
      <c r="A9" s="1165">
        <v>5</v>
      </c>
      <c r="B9" s="1161" t="s">
        <v>109</v>
      </c>
      <c r="C9" s="1163" t="s">
        <v>106</v>
      </c>
      <c r="D9" s="86"/>
      <c r="E9" s="86"/>
      <c r="F9" s="86"/>
      <c r="G9" s="86"/>
      <c r="H9" s="86"/>
      <c r="I9" s="86"/>
      <c r="J9" s="1165">
        <f>SUM(D10:I10)</f>
        <v>6</v>
      </c>
      <c r="K9" s="150" t="s">
        <v>239</v>
      </c>
      <c r="L9" s="150" t="s">
        <v>240</v>
      </c>
      <c r="M9" s="150" t="s">
        <v>234</v>
      </c>
      <c r="N9" s="151"/>
      <c r="O9" s="150" t="s">
        <v>233</v>
      </c>
      <c r="P9" s="150" t="s">
        <v>298</v>
      </c>
      <c r="Q9" s="150" t="s">
        <v>300</v>
      </c>
      <c r="R9" s="1167"/>
      <c r="S9" s="1156">
        <f>TRUNC(R9*J9,2)</f>
        <v>0</v>
      </c>
      <c r="T9" s="1176">
        <v>121.96</v>
      </c>
      <c r="U9" s="1177">
        <f>J9*T9</f>
        <v>731.76</v>
      </c>
    </row>
    <row r="10" spans="1:22" ht="30" customHeight="1">
      <c r="A10" s="1166"/>
      <c r="B10" s="1162"/>
      <c r="C10" s="1164"/>
      <c r="D10" s="86">
        <v>1</v>
      </c>
      <c r="E10" s="86">
        <v>1</v>
      </c>
      <c r="F10" s="86">
        <v>1</v>
      </c>
      <c r="G10" s="86">
        <v>1</v>
      </c>
      <c r="H10" s="86">
        <v>1</v>
      </c>
      <c r="I10" s="86">
        <v>1</v>
      </c>
      <c r="J10" s="1166"/>
      <c r="K10" s="88">
        <v>96.97</v>
      </c>
      <c r="L10" s="88">
        <v>99.9</v>
      </c>
      <c r="M10" s="88">
        <v>169</v>
      </c>
      <c r="N10" s="125"/>
      <c r="O10" s="88">
        <v>200</v>
      </c>
      <c r="P10" s="88">
        <v>96</v>
      </c>
      <c r="Q10" s="88">
        <v>127.8</v>
      </c>
      <c r="R10" s="1167"/>
      <c r="S10" s="1156"/>
      <c r="T10" s="1176"/>
      <c r="U10" s="1177"/>
    </row>
    <row r="11" spans="1:22" ht="28.95" customHeight="1">
      <c r="A11" s="1157">
        <v>6</v>
      </c>
      <c r="B11" s="1159" t="s">
        <v>110</v>
      </c>
      <c r="C11" s="1170" t="s">
        <v>106</v>
      </c>
      <c r="D11" s="87"/>
      <c r="E11" s="87"/>
      <c r="F11" s="87"/>
      <c r="G11" s="87"/>
      <c r="H11" s="87"/>
      <c r="I11" s="87"/>
      <c r="J11" s="1157">
        <f>SUM(D12:I12)</f>
        <v>4</v>
      </c>
      <c r="K11" s="152" t="s">
        <v>236</v>
      </c>
      <c r="L11" s="152" t="s">
        <v>241</v>
      </c>
      <c r="M11" s="152" t="s">
        <v>242</v>
      </c>
      <c r="N11" s="151"/>
      <c r="O11" s="152" t="s">
        <v>233</v>
      </c>
      <c r="P11" s="152" t="s">
        <v>298</v>
      </c>
      <c r="Q11" s="152" t="s">
        <v>300</v>
      </c>
      <c r="R11" s="1167"/>
      <c r="S11" s="1156">
        <f>TRUNC(R11*J11,2)</f>
        <v>0</v>
      </c>
      <c r="T11" s="1176">
        <v>250.33</v>
      </c>
      <c r="U11" s="1177">
        <f>J11*T11</f>
        <v>1001.32</v>
      </c>
    </row>
    <row r="12" spans="1:22" ht="18" customHeight="1">
      <c r="A12" s="1158"/>
      <c r="B12" s="1160"/>
      <c r="C12" s="1171"/>
      <c r="D12" s="87">
        <v>1</v>
      </c>
      <c r="E12" s="87">
        <v>1</v>
      </c>
      <c r="F12" s="87">
        <v>1</v>
      </c>
      <c r="G12" s="87">
        <v>1</v>
      </c>
      <c r="H12" s="87">
        <v>0</v>
      </c>
      <c r="I12" s="87">
        <v>0</v>
      </c>
      <c r="J12" s="1158"/>
      <c r="K12" s="126">
        <v>280.89999999999998</v>
      </c>
      <c r="L12" s="126">
        <v>246</v>
      </c>
      <c r="M12" s="108">
        <v>224</v>
      </c>
      <c r="N12" s="127"/>
      <c r="O12" s="108">
        <v>200</v>
      </c>
      <c r="P12" s="108">
        <v>220</v>
      </c>
      <c r="Q12" s="108">
        <v>246</v>
      </c>
      <c r="R12" s="1167"/>
      <c r="S12" s="1156"/>
      <c r="T12" s="1176"/>
      <c r="U12" s="1177"/>
    </row>
    <row r="13" spans="1:22" ht="27.6" customHeight="1">
      <c r="A13" s="1165">
        <v>7</v>
      </c>
      <c r="B13" s="1161" t="s">
        <v>111</v>
      </c>
      <c r="C13" s="1163" t="s">
        <v>106</v>
      </c>
      <c r="D13" s="86"/>
      <c r="E13" s="86"/>
      <c r="F13" s="86"/>
      <c r="G13" s="86"/>
      <c r="H13" s="86"/>
      <c r="I13" s="86"/>
      <c r="J13" s="1165">
        <f>SUM(D14:I14)</f>
        <v>76</v>
      </c>
      <c r="K13" s="150" t="s">
        <v>240</v>
      </c>
      <c r="L13" s="150" t="s">
        <v>243</v>
      </c>
      <c r="M13" s="150" t="s">
        <v>244</v>
      </c>
      <c r="N13" s="151"/>
      <c r="O13" s="150" t="s">
        <v>233</v>
      </c>
      <c r="P13" s="150" t="s">
        <v>298</v>
      </c>
      <c r="Q13" s="150" t="s">
        <v>300</v>
      </c>
      <c r="R13" s="1167"/>
      <c r="S13" s="1156">
        <f>TRUNC(R13*J13,2)</f>
        <v>0</v>
      </c>
      <c r="T13" s="1176">
        <v>24.92</v>
      </c>
      <c r="U13" s="1177">
        <f>J13*T13</f>
        <v>1893.92</v>
      </c>
    </row>
    <row r="14" spans="1:22" ht="19.5" customHeight="1">
      <c r="A14" s="1166"/>
      <c r="B14" s="1162"/>
      <c r="C14" s="1164"/>
      <c r="D14" s="86">
        <v>30</v>
      </c>
      <c r="E14" s="89">
        <v>10</v>
      </c>
      <c r="F14" s="86">
        <v>20</v>
      </c>
      <c r="G14" s="86">
        <v>12</v>
      </c>
      <c r="H14" s="86">
        <v>2</v>
      </c>
      <c r="I14" s="86">
        <v>2</v>
      </c>
      <c r="J14" s="1166"/>
      <c r="K14" s="88">
        <v>21.97</v>
      </c>
      <c r="L14" s="88">
        <v>27.9</v>
      </c>
      <c r="M14" s="88">
        <v>24.9</v>
      </c>
      <c r="N14" s="125"/>
      <c r="O14" s="88">
        <v>70</v>
      </c>
      <c r="P14" s="88">
        <v>22</v>
      </c>
      <c r="Q14" s="88">
        <v>16.899999999999999</v>
      </c>
      <c r="R14" s="1167"/>
      <c r="S14" s="1156"/>
      <c r="T14" s="1176"/>
      <c r="U14" s="1177"/>
    </row>
    <row r="15" spans="1:22" ht="19.5" customHeight="1">
      <c r="A15" s="1157">
        <v>8</v>
      </c>
      <c r="B15" s="1159" t="s">
        <v>112</v>
      </c>
      <c r="C15" s="1170" t="s">
        <v>106</v>
      </c>
      <c r="D15" s="87"/>
      <c r="E15" s="90"/>
      <c r="F15" s="87"/>
      <c r="G15" s="87"/>
      <c r="H15" s="87"/>
      <c r="I15" s="87"/>
      <c r="J15" s="1157">
        <f>SUM(D16:I16)</f>
        <v>9</v>
      </c>
      <c r="K15" s="91" t="s">
        <v>245</v>
      </c>
      <c r="L15" s="91" t="s">
        <v>246</v>
      </c>
      <c r="M15" s="91" t="s">
        <v>247</v>
      </c>
      <c r="N15" s="125"/>
      <c r="O15" s="91" t="s">
        <v>233</v>
      </c>
      <c r="P15" s="91" t="s">
        <v>298</v>
      </c>
      <c r="Q15" s="91" t="s">
        <v>300</v>
      </c>
      <c r="R15" s="1167"/>
      <c r="S15" s="1156">
        <f>TRUNC(R15*J15,2)</f>
        <v>0</v>
      </c>
      <c r="T15" s="1176">
        <v>265.35000000000002</v>
      </c>
      <c r="U15" s="1177">
        <f>J15*T15</f>
        <v>2388.15</v>
      </c>
    </row>
    <row r="16" spans="1:22" ht="21" customHeight="1">
      <c r="A16" s="1158"/>
      <c r="B16" s="1160"/>
      <c r="C16" s="1171"/>
      <c r="D16" s="87">
        <v>4</v>
      </c>
      <c r="E16" s="87">
        <v>1</v>
      </c>
      <c r="F16" s="87">
        <v>1</v>
      </c>
      <c r="G16" s="87">
        <v>1</v>
      </c>
      <c r="H16" s="87">
        <v>1</v>
      </c>
      <c r="I16" s="87">
        <v>1</v>
      </c>
      <c r="J16" s="1158"/>
      <c r="K16" s="126">
        <v>235.36</v>
      </c>
      <c r="L16" s="126">
        <v>350.94</v>
      </c>
      <c r="M16" s="126">
        <v>209.76</v>
      </c>
      <c r="N16" s="127"/>
      <c r="O16" s="126">
        <v>300</v>
      </c>
      <c r="P16" s="126">
        <v>240</v>
      </c>
      <c r="Q16" s="126">
        <v>319.44</v>
      </c>
      <c r="R16" s="1167"/>
      <c r="S16" s="1156"/>
      <c r="T16" s="1176"/>
      <c r="U16" s="1177"/>
    </row>
    <row r="17" spans="1:21" ht="21.6" customHeight="1">
      <c r="A17" s="1172">
        <v>9</v>
      </c>
      <c r="B17" s="1161" t="s">
        <v>113</v>
      </c>
      <c r="C17" s="1163" t="s">
        <v>106</v>
      </c>
      <c r="D17" s="86"/>
      <c r="E17" s="86"/>
      <c r="F17" s="86"/>
      <c r="G17" s="86"/>
      <c r="H17" s="86"/>
      <c r="I17" s="86"/>
      <c r="J17" s="1165">
        <f>SUM(D18:I18)</f>
        <v>10</v>
      </c>
      <c r="K17" s="150" t="s">
        <v>234</v>
      </c>
      <c r="L17" s="150" t="s">
        <v>245</v>
      </c>
      <c r="M17" s="150" t="s">
        <v>248</v>
      </c>
      <c r="N17" s="151"/>
      <c r="O17" s="150" t="s">
        <v>233</v>
      </c>
      <c r="P17" s="150" t="s">
        <v>298</v>
      </c>
      <c r="Q17" s="150" t="s">
        <v>300</v>
      </c>
      <c r="R17" s="1167"/>
      <c r="S17" s="1156">
        <f>TRUNC(R17*J17,2)</f>
        <v>0</v>
      </c>
      <c r="T17" s="1176">
        <v>17.36</v>
      </c>
      <c r="U17" s="1177">
        <f>J17*T17</f>
        <v>173.6</v>
      </c>
    </row>
    <row r="18" spans="1:21" ht="15.75" customHeight="1">
      <c r="A18" s="1173"/>
      <c r="B18" s="1162"/>
      <c r="C18" s="1164"/>
      <c r="D18" s="86">
        <v>4</v>
      </c>
      <c r="E18" s="86">
        <v>1</v>
      </c>
      <c r="F18" s="86">
        <v>1</v>
      </c>
      <c r="G18" s="86">
        <v>1</v>
      </c>
      <c r="H18" s="86">
        <v>1</v>
      </c>
      <c r="I18" s="86">
        <v>2</v>
      </c>
      <c r="J18" s="1166"/>
      <c r="K18" s="88">
        <v>18.5</v>
      </c>
      <c r="L18" s="88">
        <v>16</v>
      </c>
      <c r="M18" s="88">
        <v>17.579999999999998</v>
      </c>
      <c r="N18" s="125"/>
      <c r="O18" s="88">
        <v>50</v>
      </c>
      <c r="P18" s="88">
        <v>25</v>
      </c>
      <c r="Q18" s="88">
        <v>21.9</v>
      </c>
      <c r="R18" s="1167"/>
      <c r="S18" s="1156"/>
      <c r="T18" s="1176"/>
      <c r="U18" s="1177"/>
    </row>
    <row r="19" spans="1:21" ht="15.75" customHeight="1">
      <c r="A19" s="1157">
        <v>10</v>
      </c>
      <c r="B19" s="1159" t="s">
        <v>249</v>
      </c>
      <c r="C19" s="1170" t="s">
        <v>106</v>
      </c>
      <c r="D19" s="87"/>
      <c r="E19" s="87"/>
      <c r="F19" s="87"/>
      <c r="G19" s="87"/>
      <c r="H19" s="87"/>
      <c r="I19" s="87"/>
      <c r="J19" s="1157">
        <f>SUM(D20:I20)</f>
        <v>27</v>
      </c>
      <c r="K19" s="91" t="s">
        <v>230</v>
      </c>
      <c r="L19" s="91" t="s">
        <v>234</v>
      </c>
      <c r="M19" s="91" t="s">
        <v>250</v>
      </c>
      <c r="N19" s="125"/>
      <c r="O19" s="91" t="s">
        <v>233</v>
      </c>
      <c r="P19" s="91" t="s">
        <v>298</v>
      </c>
      <c r="Q19" s="91" t="s">
        <v>300</v>
      </c>
      <c r="R19" s="1167"/>
      <c r="S19" s="1156">
        <f>TRUNC(R19*J19,2)</f>
        <v>0</v>
      </c>
      <c r="T19" s="1176">
        <v>22.11</v>
      </c>
      <c r="U19" s="1177">
        <f>J19*T19</f>
        <v>596.97</v>
      </c>
    </row>
    <row r="20" spans="1:21" ht="20.25" customHeight="1">
      <c r="A20" s="1158"/>
      <c r="B20" s="1160"/>
      <c r="C20" s="1171"/>
      <c r="D20" s="87">
        <v>15</v>
      </c>
      <c r="E20" s="87">
        <v>3</v>
      </c>
      <c r="F20" s="87">
        <v>3</v>
      </c>
      <c r="G20" s="87">
        <v>4</v>
      </c>
      <c r="H20" s="87">
        <v>1</v>
      </c>
      <c r="I20" s="87">
        <v>1</v>
      </c>
      <c r="J20" s="1158"/>
      <c r="K20" s="126">
        <v>25.43</v>
      </c>
      <c r="L20" s="126">
        <v>14.9</v>
      </c>
      <c r="M20" s="126">
        <v>25.99</v>
      </c>
      <c r="N20" s="127"/>
      <c r="O20" s="126">
        <v>50</v>
      </c>
      <c r="P20" s="126">
        <v>23</v>
      </c>
      <c r="Q20" s="146">
        <v>0</v>
      </c>
      <c r="R20" s="1167"/>
      <c r="S20" s="1156"/>
      <c r="T20" s="1176"/>
      <c r="U20" s="1177"/>
    </row>
    <row r="21" spans="1:21" ht="20.25" customHeight="1">
      <c r="A21" s="1172">
        <v>11</v>
      </c>
      <c r="B21" s="1161" t="s">
        <v>114</v>
      </c>
      <c r="C21" s="1163" t="s">
        <v>106</v>
      </c>
      <c r="D21" s="86"/>
      <c r="E21" s="86"/>
      <c r="F21" s="86"/>
      <c r="G21" s="86"/>
      <c r="H21" s="86"/>
      <c r="I21" s="86"/>
      <c r="J21" s="1165">
        <f>SUM(D22:I22)</f>
        <v>17</v>
      </c>
      <c r="K21" s="88" t="s">
        <v>230</v>
      </c>
      <c r="L21" s="88" t="s">
        <v>234</v>
      </c>
      <c r="M21" s="88" t="s">
        <v>245</v>
      </c>
      <c r="N21" s="125"/>
      <c r="O21" s="88" t="s">
        <v>233</v>
      </c>
      <c r="P21" s="88" t="s">
        <v>298</v>
      </c>
      <c r="Q21" s="88" t="s">
        <v>300</v>
      </c>
      <c r="R21" s="1167"/>
      <c r="S21" s="1156">
        <f>TRUNC(R21*J21,2)</f>
        <v>0</v>
      </c>
      <c r="T21" s="1176">
        <v>33.67</v>
      </c>
      <c r="U21" s="1177">
        <f>J21*T21</f>
        <v>572.39</v>
      </c>
    </row>
    <row r="22" spans="1:21" ht="21" customHeight="1">
      <c r="A22" s="1173"/>
      <c r="B22" s="1162"/>
      <c r="C22" s="1164"/>
      <c r="D22" s="86">
        <v>6</v>
      </c>
      <c r="E22" s="86">
        <v>2</v>
      </c>
      <c r="F22" s="86">
        <v>2</v>
      </c>
      <c r="G22" s="86">
        <v>3</v>
      </c>
      <c r="H22" s="86">
        <v>1</v>
      </c>
      <c r="I22" s="86">
        <v>3</v>
      </c>
      <c r="J22" s="1166"/>
      <c r="K22" s="88">
        <v>29</v>
      </c>
      <c r="L22" s="88">
        <v>34</v>
      </c>
      <c r="M22" s="88">
        <v>38</v>
      </c>
      <c r="N22" s="125"/>
      <c r="O22" s="88">
        <v>30</v>
      </c>
      <c r="P22" s="88">
        <v>26</v>
      </c>
      <c r="Q22" s="88">
        <v>29.9</v>
      </c>
      <c r="R22" s="1167"/>
      <c r="S22" s="1156"/>
      <c r="T22" s="1176"/>
      <c r="U22" s="1177"/>
    </row>
    <row r="23" spans="1:21" ht="21" customHeight="1">
      <c r="A23" s="1157">
        <v>12</v>
      </c>
      <c r="B23" s="1190" t="s">
        <v>115</v>
      </c>
      <c r="C23" s="1170" t="s">
        <v>106</v>
      </c>
      <c r="D23" s="87"/>
      <c r="E23" s="87"/>
      <c r="F23" s="87"/>
      <c r="G23" s="87"/>
      <c r="H23" s="87"/>
      <c r="I23" s="87"/>
      <c r="J23" s="1157">
        <f>SUM(D24:I24)</f>
        <v>33</v>
      </c>
      <c r="K23" s="152" t="s">
        <v>230</v>
      </c>
      <c r="L23" s="152" t="s">
        <v>231</v>
      </c>
      <c r="M23" s="152" t="s">
        <v>234</v>
      </c>
      <c r="N23" s="151"/>
      <c r="O23" s="152" t="s">
        <v>233</v>
      </c>
      <c r="P23" s="152" t="s">
        <v>298</v>
      </c>
      <c r="Q23" s="152" t="s">
        <v>300</v>
      </c>
      <c r="R23" s="1167"/>
      <c r="S23" s="1156">
        <f>TRUNC(R23*J23,2)</f>
        <v>0</v>
      </c>
      <c r="T23" s="1176">
        <v>32.630000000000003</v>
      </c>
      <c r="U23" s="1177">
        <f>J23*T23</f>
        <v>1076.7900000000002</v>
      </c>
    </row>
    <row r="24" spans="1:21" ht="21.6" customHeight="1">
      <c r="A24" s="1158"/>
      <c r="B24" s="1191"/>
      <c r="C24" s="1171"/>
      <c r="D24" s="87">
        <v>11</v>
      </c>
      <c r="E24" s="87">
        <v>2</v>
      </c>
      <c r="F24" s="87">
        <v>12</v>
      </c>
      <c r="G24" s="87">
        <v>4</v>
      </c>
      <c r="H24" s="87">
        <v>2</v>
      </c>
      <c r="I24" s="87">
        <v>2</v>
      </c>
      <c r="J24" s="1158"/>
      <c r="K24" s="126">
        <v>34</v>
      </c>
      <c r="L24" s="126">
        <v>38</v>
      </c>
      <c r="M24" s="126">
        <v>25.9</v>
      </c>
      <c r="N24" s="127"/>
      <c r="O24" s="126">
        <v>50</v>
      </c>
      <c r="P24" s="126">
        <v>39</v>
      </c>
      <c r="Q24" s="126">
        <v>35.9</v>
      </c>
      <c r="R24" s="1167"/>
      <c r="S24" s="1156"/>
      <c r="T24" s="1176"/>
      <c r="U24" s="1177"/>
    </row>
    <row r="25" spans="1:21" ht="21.6" customHeight="1">
      <c r="A25" s="1172">
        <v>13</v>
      </c>
      <c r="B25" s="1161" t="s">
        <v>116</v>
      </c>
      <c r="C25" s="1163" t="s">
        <v>106</v>
      </c>
      <c r="D25" s="86"/>
      <c r="E25" s="86"/>
      <c r="F25" s="86"/>
      <c r="G25" s="86"/>
      <c r="H25" s="86"/>
      <c r="I25" s="86"/>
      <c r="J25" s="1165">
        <f>SUM(D26:I26)</f>
        <v>35</v>
      </c>
      <c r="K25" s="88" t="s">
        <v>230</v>
      </c>
      <c r="L25" s="88" t="s">
        <v>234</v>
      </c>
      <c r="M25" s="88" t="s">
        <v>245</v>
      </c>
      <c r="N25" s="125"/>
      <c r="O25" s="88" t="s">
        <v>233</v>
      </c>
      <c r="P25" s="88" t="s">
        <v>298</v>
      </c>
      <c r="Q25" s="88" t="s">
        <v>300</v>
      </c>
      <c r="R25" s="1167"/>
      <c r="S25" s="1156">
        <f>TRUNC(R25*J25,2)</f>
        <v>0</v>
      </c>
      <c r="T25" s="1176">
        <v>33.67</v>
      </c>
      <c r="U25" s="1177">
        <f>J25*T25</f>
        <v>1178.45</v>
      </c>
    </row>
    <row r="26" spans="1:21" ht="77.400000000000006" customHeight="1">
      <c r="A26" s="1173"/>
      <c r="B26" s="1162"/>
      <c r="C26" s="1164"/>
      <c r="D26" s="86">
        <v>11</v>
      </c>
      <c r="E26" s="86">
        <v>4</v>
      </c>
      <c r="F26" s="86">
        <v>7</v>
      </c>
      <c r="G26" s="86">
        <v>7</v>
      </c>
      <c r="H26" s="86">
        <v>2</v>
      </c>
      <c r="I26" s="86">
        <v>4</v>
      </c>
      <c r="J26" s="1166"/>
      <c r="K26" s="88">
        <v>29</v>
      </c>
      <c r="L26" s="88">
        <v>34</v>
      </c>
      <c r="M26" s="88">
        <v>38</v>
      </c>
      <c r="N26" s="125"/>
      <c r="O26" s="88">
        <v>50</v>
      </c>
      <c r="P26" s="88">
        <v>28</v>
      </c>
      <c r="Q26" s="88">
        <v>59.3</v>
      </c>
      <c r="R26" s="1167"/>
      <c r="S26" s="1156"/>
      <c r="T26" s="1176"/>
      <c r="U26" s="1177"/>
    </row>
    <row r="27" spans="1:21" ht="22.2" customHeight="1">
      <c r="A27" s="1157">
        <v>14</v>
      </c>
      <c r="B27" s="1159" t="s">
        <v>117</v>
      </c>
      <c r="C27" s="1170" t="s">
        <v>106</v>
      </c>
      <c r="D27" s="87"/>
      <c r="E27" s="87"/>
      <c r="F27" s="87"/>
      <c r="G27" s="87"/>
      <c r="H27" s="87"/>
      <c r="I27" s="87"/>
      <c r="J27" s="1157">
        <f>SUM(D28:I28)</f>
        <v>61</v>
      </c>
      <c r="K27" s="91" t="s">
        <v>245</v>
      </c>
      <c r="L27" s="91" t="s">
        <v>230</v>
      </c>
      <c r="M27" s="91" t="s">
        <v>251</v>
      </c>
      <c r="N27" s="125"/>
      <c r="O27" s="91" t="s">
        <v>233</v>
      </c>
      <c r="P27" s="91" t="s">
        <v>298</v>
      </c>
      <c r="Q27" s="91" t="s">
        <v>300</v>
      </c>
      <c r="R27" s="1167"/>
      <c r="S27" s="1156">
        <f>TRUNC(R27*J27,2)</f>
        <v>0</v>
      </c>
      <c r="T27" s="1176">
        <v>37.270000000000003</v>
      </c>
      <c r="U27" s="1177">
        <f>J27*T27</f>
        <v>2273.4700000000003</v>
      </c>
    </row>
    <row r="28" spans="1:21" ht="25.95" customHeight="1">
      <c r="A28" s="1158"/>
      <c r="B28" s="1160"/>
      <c r="C28" s="1171"/>
      <c r="D28" s="87">
        <v>36</v>
      </c>
      <c r="E28" s="87">
        <v>5</v>
      </c>
      <c r="F28" s="87">
        <v>12</v>
      </c>
      <c r="G28" s="87">
        <v>3</v>
      </c>
      <c r="H28" s="87">
        <v>1</v>
      </c>
      <c r="I28" s="87">
        <v>4</v>
      </c>
      <c r="J28" s="1158"/>
      <c r="K28" s="126">
        <v>40.32</v>
      </c>
      <c r="L28" s="126">
        <v>39</v>
      </c>
      <c r="M28" s="126">
        <v>32.49</v>
      </c>
      <c r="N28" s="127"/>
      <c r="O28" s="126">
        <v>50</v>
      </c>
      <c r="P28" s="126">
        <v>26</v>
      </c>
      <c r="Q28" s="126">
        <v>29.9</v>
      </c>
      <c r="R28" s="1167"/>
      <c r="S28" s="1156"/>
      <c r="T28" s="1176"/>
      <c r="U28" s="1177"/>
    </row>
    <row r="29" spans="1:21" ht="21.6" customHeight="1">
      <c r="A29" s="1172">
        <v>15</v>
      </c>
      <c r="B29" s="1161" t="s">
        <v>118</v>
      </c>
      <c r="C29" s="1163" t="s">
        <v>106</v>
      </c>
      <c r="D29" s="86"/>
      <c r="E29" s="86"/>
      <c r="F29" s="86"/>
      <c r="G29" s="86"/>
      <c r="H29" s="86"/>
      <c r="I29" s="86"/>
      <c r="J29" s="1165">
        <f>SUM(D30:I30)</f>
        <v>2</v>
      </c>
      <c r="K29" s="88" t="s">
        <v>239</v>
      </c>
      <c r="L29" s="88" t="s">
        <v>231</v>
      </c>
      <c r="M29" s="88" t="s">
        <v>252</v>
      </c>
      <c r="N29" s="125"/>
      <c r="O29" s="88" t="s">
        <v>233</v>
      </c>
      <c r="P29" s="88" t="s">
        <v>298</v>
      </c>
      <c r="Q29" s="88" t="s">
        <v>300</v>
      </c>
      <c r="R29" s="1167"/>
      <c r="S29" s="1156">
        <f>TRUNC(R29*J29,2)</f>
        <v>0</v>
      </c>
      <c r="T29" s="1176">
        <v>1336.07</v>
      </c>
      <c r="U29" s="1177">
        <f>J29*T29</f>
        <v>2672.14</v>
      </c>
    </row>
    <row r="30" spans="1:21" ht="18" customHeight="1">
      <c r="A30" s="1173"/>
      <c r="B30" s="1162"/>
      <c r="C30" s="1164"/>
      <c r="D30" s="86">
        <v>1</v>
      </c>
      <c r="E30" s="86">
        <v>1</v>
      </c>
      <c r="F30" s="86">
        <v>0</v>
      </c>
      <c r="G30" s="86">
        <v>0</v>
      </c>
      <c r="H30" s="86">
        <v>0</v>
      </c>
      <c r="I30" s="86">
        <v>0</v>
      </c>
      <c r="J30" s="1166"/>
      <c r="K30" s="88">
        <v>1510.2</v>
      </c>
      <c r="L30" s="88">
        <v>1199</v>
      </c>
      <c r="M30" s="88">
        <v>1299</v>
      </c>
      <c r="N30" s="125"/>
      <c r="O30" s="145">
        <v>2500</v>
      </c>
      <c r="P30" s="88">
        <v>1350</v>
      </c>
      <c r="Q30" s="88">
        <v>1530</v>
      </c>
      <c r="R30" s="1167"/>
      <c r="S30" s="1156"/>
      <c r="T30" s="1176"/>
      <c r="U30" s="1177"/>
    </row>
    <row r="31" spans="1:21" ht="19.95" customHeight="1">
      <c r="A31" s="1157">
        <v>16</v>
      </c>
      <c r="B31" s="1159" t="s">
        <v>119</v>
      </c>
      <c r="C31" s="1170" t="s">
        <v>106</v>
      </c>
      <c r="D31" s="87"/>
      <c r="E31" s="87"/>
      <c r="F31" s="87"/>
      <c r="G31" s="87"/>
      <c r="H31" s="87"/>
      <c r="I31" s="87"/>
      <c r="J31" s="1157">
        <f>SUM(D32:I32)</f>
        <v>7</v>
      </c>
      <c r="K31" s="91" t="s">
        <v>245</v>
      </c>
      <c r="L31" s="91" t="s">
        <v>231</v>
      </c>
      <c r="M31" s="91" t="s">
        <v>253</v>
      </c>
      <c r="N31" s="125"/>
      <c r="O31" s="91" t="s">
        <v>233</v>
      </c>
      <c r="P31" s="91" t="s">
        <v>298</v>
      </c>
      <c r="Q31" s="91" t="s">
        <v>300</v>
      </c>
      <c r="R31" s="1167"/>
      <c r="S31" s="1156">
        <f>TRUNC(R31*J31,2)</f>
        <v>0</v>
      </c>
      <c r="T31" s="1176">
        <v>789.38</v>
      </c>
      <c r="U31" s="1177">
        <f>J31*T31</f>
        <v>5525.66</v>
      </c>
    </row>
    <row r="32" spans="1:21" ht="18.600000000000001" customHeight="1">
      <c r="A32" s="1158"/>
      <c r="B32" s="1160"/>
      <c r="C32" s="1171"/>
      <c r="D32" s="87">
        <v>1</v>
      </c>
      <c r="E32" s="87">
        <v>1</v>
      </c>
      <c r="F32" s="87">
        <v>1</v>
      </c>
      <c r="G32" s="87">
        <v>1</v>
      </c>
      <c r="H32" s="87">
        <v>1</v>
      </c>
      <c r="I32" s="87">
        <v>2</v>
      </c>
      <c r="J32" s="1158"/>
      <c r="K32" s="126">
        <v>769.6</v>
      </c>
      <c r="L32" s="126">
        <v>697.3</v>
      </c>
      <c r="M32" s="126">
        <v>901.24</v>
      </c>
      <c r="N32" s="127"/>
      <c r="O32" s="126">
        <v>350</v>
      </c>
      <c r="P32" s="126">
        <v>250</v>
      </c>
      <c r="Q32" s="126">
        <v>289</v>
      </c>
      <c r="R32" s="1167"/>
      <c r="S32" s="1156"/>
      <c r="T32" s="1176"/>
      <c r="U32" s="1177"/>
    </row>
    <row r="33" spans="1:21" ht="19.95" customHeight="1">
      <c r="A33" s="1172">
        <v>17</v>
      </c>
      <c r="B33" s="1161" t="s">
        <v>120</v>
      </c>
      <c r="C33" s="1163" t="s">
        <v>106</v>
      </c>
      <c r="D33" s="86"/>
      <c r="E33" s="86"/>
      <c r="F33" s="86"/>
      <c r="G33" s="86"/>
      <c r="H33" s="86"/>
      <c r="I33" s="86"/>
      <c r="J33" s="1165">
        <f>SUM(D34:I34)</f>
        <v>5</v>
      </c>
      <c r="K33" s="88" t="s">
        <v>234</v>
      </c>
      <c r="L33" s="88" t="s">
        <v>231</v>
      </c>
      <c r="M33" s="88" t="s">
        <v>245</v>
      </c>
      <c r="N33" s="125"/>
      <c r="O33" s="88" t="s">
        <v>233</v>
      </c>
      <c r="P33" s="88" t="s">
        <v>298</v>
      </c>
      <c r="Q33" s="88" t="s">
        <v>300</v>
      </c>
      <c r="R33" s="1167"/>
      <c r="S33" s="1156">
        <f>TRUNC(R33*J33,2)</f>
        <v>0</v>
      </c>
      <c r="T33" s="1176">
        <v>132.6</v>
      </c>
      <c r="U33" s="1177">
        <f>J33*T33</f>
        <v>663</v>
      </c>
    </row>
    <row r="34" spans="1:21" ht="18" customHeight="1">
      <c r="A34" s="1173"/>
      <c r="B34" s="1162"/>
      <c r="C34" s="1164"/>
      <c r="D34" s="86">
        <v>2</v>
      </c>
      <c r="E34" s="86">
        <v>0</v>
      </c>
      <c r="F34" s="86">
        <v>1</v>
      </c>
      <c r="G34" s="86">
        <v>1</v>
      </c>
      <c r="H34" s="86">
        <v>0</v>
      </c>
      <c r="I34" s="86">
        <v>1</v>
      </c>
      <c r="J34" s="1166"/>
      <c r="K34" s="88">
        <v>135.9</v>
      </c>
      <c r="L34" s="88">
        <v>117.9</v>
      </c>
      <c r="M34" s="88">
        <v>149.99</v>
      </c>
      <c r="N34" s="125"/>
      <c r="O34" s="88">
        <v>190</v>
      </c>
      <c r="P34" s="88">
        <v>180</v>
      </c>
      <c r="Q34" s="88">
        <v>198</v>
      </c>
      <c r="R34" s="1167"/>
      <c r="S34" s="1156"/>
      <c r="T34" s="1176"/>
      <c r="U34" s="1177"/>
    </row>
    <row r="35" spans="1:21" ht="19.2" customHeight="1">
      <c r="A35" s="1157">
        <v>18</v>
      </c>
      <c r="B35" s="1159" t="s">
        <v>121</v>
      </c>
      <c r="C35" s="1170" t="s">
        <v>106</v>
      </c>
      <c r="D35" s="87"/>
      <c r="E35" s="87"/>
      <c r="F35" s="87"/>
      <c r="G35" s="87"/>
      <c r="H35" s="87"/>
      <c r="I35" s="87"/>
      <c r="J35" s="1157">
        <f>SUM(D36:I36)</f>
        <v>3</v>
      </c>
      <c r="K35" s="91" t="s">
        <v>234</v>
      </c>
      <c r="L35" s="91" t="s">
        <v>231</v>
      </c>
      <c r="M35" s="91" t="s">
        <v>254</v>
      </c>
      <c r="N35" s="125"/>
      <c r="O35" s="91" t="s">
        <v>233</v>
      </c>
      <c r="P35" s="91" t="s">
        <v>298</v>
      </c>
      <c r="Q35" s="91" t="s">
        <v>300</v>
      </c>
      <c r="R35" s="1167"/>
      <c r="S35" s="1156">
        <f>TRUNC(R35*J35,2)</f>
        <v>0</v>
      </c>
      <c r="T35" s="1176">
        <v>104.63</v>
      </c>
      <c r="U35" s="1177">
        <f>J35*T35</f>
        <v>313.89</v>
      </c>
    </row>
    <row r="36" spans="1:21" ht="22.2" customHeight="1">
      <c r="A36" s="1158"/>
      <c r="B36" s="1160"/>
      <c r="C36" s="1171"/>
      <c r="D36" s="87">
        <v>2</v>
      </c>
      <c r="E36" s="87">
        <v>0</v>
      </c>
      <c r="F36" s="87">
        <v>0</v>
      </c>
      <c r="G36" s="87">
        <v>0</v>
      </c>
      <c r="H36" s="87">
        <v>0</v>
      </c>
      <c r="I36" s="87">
        <v>1</v>
      </c>
      <c r="J36" s="1158"/>
      <c r="K36" s="126">
        <v>104.06</v>
      </c>
      <c r="L36" s="126">
        <v>109.94</v>
      </c>
      <c r="M36" s="126">
        <v>99.9</v>
      </c>
      <c r="N36" s="127"/>
      <c r="O36" s="126">
        <v>200</v>
      </c>
      <c r="P36" s="126">
        <v>120</v>
      </c>
      <c r="Q36" s="126">
        <v>190</v>
      </c>
      <c r="R36" s="1167"/>
      <c r="S36" s="1156"/>
      <c r="T36" s="1176"/>
      <c r="U36" s="1177"/>
    </row>
    <row r="37" spans="1:21" ht="17.399999999999999" customHeight="1">
      <c r="A37" s="1172">
        <v>19</v>
      </c>
      <c r="B37" s="1161" t="s">
        <v>122</v>
      </c>
      <c r="C37" s="1163" t="s">
        <v>106</v>
      </c>
      <c r="D37" s="86"/>
      <c r="E37" s="86"/>
      <c r="F37" s="86"/>
      <c r="G37" s="86"/>
      <c r="H37" s="86"/>
      <c r="I37" s="86"/>
      <c r="J37" s="1165">
        <f>SUM(D38:I38)</f>
        <v>7</v>
      </c>
      <c r="K37" s="92" t="s">
        <v>230</v>
      </c>
      <c r="L37" s="92" t="s">
        <v>255</v>
      </c>
      <c r="M37" s="92" t="s">
        <v>232</v>
      </c>
      <c r="N37" s="127"/>
      <c r="O37" s="92" t="s">
        <v>233</v>
      </c>
      <c r="P37" s="92" t="s">
        <v>298</v>
      </c>
      <c r="Q37" s="92" t="s">
        <v>300</v>
      </c>
      <c r="R37" s="1167"/>
      <c r="S37" s="1156">
        <f>TRUNC(R37*J37,2)</f>
        <v>0</v>
      </c>
      <c r="T37" s="1176">
        <v>253.6</v>
      </c>
      <c r="U37" s="1177">
        <f>J37*T37</f>
        <v>1775.2</v>
      </c>
    </row>
    <row r="38" spans="1:21" ht="17.399999999999999" customHeight="1">
      <c r="A38" s="1173"/>
      <c r="B38" s="1162"/>
      <c r="C38" s="1164"/>
      <c r="D38" s="86">
        <v>2</v>
      </c>
      <c r="E38" s="86">
        <v>1</v>
      </c>
      <c r="F38" s="86">
        <v>1</v>
      </c>
      <c r="G38" s="86">
        <v>1</v>
      </c>
      <c r="H38" s="86">
        <v>1</v>
      </c>
      <c r="I38" s="86">
        <v>1</v>
      </c>
      <c r="J38" s="1166"/>
      <c r="K38" s="92">
        <v>265</v>
      </c>
      <c r="L38" s="92">
        <v>234.9</v>
      </c>
      <c r="M38" s="92">
        <v>260.89999999999998</v>
      </c>
      <c r="N38" s="127"/>
      <c r="O38" s="92">
        <v>180</v>
      </c>
      <c r="P38" s="92">
        <v>200</v>
      </c>
      <c r="Q38" s="92">
        <v>185</v>
      </c>
      <c r="R38" s="1167"/>
      <c r="S38" s="1156"/>
      <c r="T38" s="1176"/>
      <c r="U38" s="1177"/>
    </row>
    <row r="39" spans="1:21" ht="18.600000000000001" customHeight="1">
      <c r="A39" s="1157">
        <v>20</v>
      </c>
      <c r="B39" s="1159" t="s">
        <v>123</v>
      </c>
      <c r="C39" s="1170" t="s">
        <v>106</v>
      </c>
      <c r="D39" s="87"/>
      <c r="E39" s="87"/>
      <c r="F39" s="87"/>
      <c r="G39" s="87"/>
      <c r="H39" s="87"/>
      <c r="I39" s="87"/>
      <c r="J39" s="1157">
        <f>SUM(D40:I40)</f>
        <v>6</v>
      </c>
      <c r="K39" s="91" t="s">
        <v>240</v>
      </c>
      <c r="L39" s="91" t="s">
        <v>231</v>
      </c>
      <c r="M39" s="91" t="s">
        <v>234</v>
      </c>
      <c r="N39" s="125"/>
      <c r="O39" s="91" t="s">
        <v>233</v>
      </c>
      <c r="P39" s="91" t="s">
        <v>298</v>
      </c>
      <c r="Q39" s="91" t="s">
        <v>300</v>
      </c>
      <c r="R39" s="1167"/>
      <c r="S39" s="1156">
        <f>TRUNC(R39*J39,2)</f>
        <v>0</v>
      </c>
      <c r="T39" s="1176">
        <v>1078.93</v>
      </c>
      <c r="U39" s="1177">
        <f>J39*T39</f>
        <v>6473.58</v>
      </c>
    </row>
    <row r="40" spans="1:21" ht="25.2" customHeight="1">
      <c r="A40" s="1158"/>
      <c r="B40" s="1160"/>
      <c r="C40" s="1171"/>
      <c r="D40" s="87">
        <v>1</v>
      </c>
      <c r="E40" s="87">
        <v>1</v>
      </c>
      <c r="F40" s="87">
        <v>1</v>
      </c>
      <c r="G40" s="87">
        <v>1</v>
      </c>
      <c r="H40" s="87">
        <v>1</v>
      </c>
      <c r="I40" s="87">
        <v>1</v>
      </c>
      <c r="J40" s="1158"/>
      <c r="K40" s="91">
        <v>919.99</v>
      </c>
      <c r="L40" s="91">
        <v>1199.9000000000001</v>
      </c>
      <c r="M40" s="91">
        <v>1116.9000000000001</v>
      </c>
      <c r="N40" s="125"/>
      <c r="O40" s="91">
        <v>1700</v>
      </c>
      <c r="P40" s="91">
        <v>520</v>
      </c>
      <c r="Q40" s="91">
        <v>1600</v>
      </c>
      <c r="R40" s="1167"/>
      <c r="S40" s="1156"/>
      <c r="T40" s="1176"/>
      <c r="U40" s="1177"/>
    </row>
    <row r="41" spans="1:21" ht="19.95" customHeight="1">
      <c r="A41" s="1172">
        <v>21</v>
      </c>
      <c r="B41" s="1161" t="s">
        <v>124</v>
      </c>
      <c r="C41" s="1163" t="s">
        <v>106</v>
      </c>
      <c r="D41" s="86"/>
      <c r="E41" s="86"/>
      <c r="F41" s="86"/>
      <c r="G41" s="86"/>
      <c r="H41" s="86"/>
      <c r="I41" s="86"/>
      <c r="J41" s="1165">
        <f>SUM(D42:I42)</f>
        <v>97</v>
      </c>
      <c r="K41" s="88" t="s">
        <v>246</v>
      </c>
      <c r="L41" s="88" t="s">
        <v>256</v>
      </c>
      <c r="M41" s="88" t="s">
        <v>247</v>
      </c>
      <c r="N41" s="125"/>
      <c r="O41" s="88" t="s">
        <v>233</v>
      </c>
      <c r="P41" s="88" t="s">
        <v>298</v>
      </c>
      <c r="Q41" s="88" t="s">
        <v>300</v>
      </c>
      <c r="R41" s="1167"/>
      <c r="S41" s="1156">
        <f>TRUNC(R41*J41,2)</f>
        <v>0</v>
      </c>
      <c r="T41" s="1176">
        <v>29.87</v>
      </c>
      <c r="U41" s="1177">
        <f>J41*T41</f>
        <v>2897.39</v>
      </c>
    </row>
    <row r="42" spans="1:21" ht="16.95" customHeight="1">
      <c r="A42" s="1173"/>
      <c r="B42" s="1162"/>
      <c r="C42" s="1164"/>
      <c r="D42" s="86">
        <v>51</v>
      </c>
      <c r="E42" s="86">
        <v>10</v>
      </c>
      <c r="F42" s="86">
        <v>12</v>
      </c>
      <c r="G42" s="86">
        <v>12</v>
      </c>
      <c r="H42" s="86">
        <v>2</v>
      </c>
      <c r="I42" s="86">
        <v>10</v>
      </c>
      <c r="J42" s="1166"/>
      <c r="K42" s="88">
        <v>25</v>
      </c>
      <c r="L42" s="88">
        <v>34.9</v>
      </c>
      <c r="M42" s="88">
        <v>28.8</v>
      </c>
      <c r="N42" s="125"/>
      <c r="O42" s="88">
        <v>30</v>
      </c>
      <c r="P42" s="88">
        <v>15</v>
      </c>
      <c r="Q42" s="88">
        <v>23.9</v>
      </c>
      <c r="R42" s="1167"/>
      <c r="S42" s="1156"/>
      <c r="T42" s="1176"/>
      <c r="U42" s="1177"/>
    </row>
    <row r="43" spans="1:21" ht="19.95" customHeight="1">
      <c r="A43" s="1157">
        <v>22</v>
      </c>
      <c r="B43" s="1159" t="s">
        <v>125</v>
      </c>
      <c r="C43" s="1170" t="s">
        <v>106</v>
      </c>
      <c r="D43" s="87"/>
      <c r="E43" s="87"/>
      <c r="F43" s="87"/>
      <c r="G43" s="87"/>
      <c r="H43" s="87"/>
      <c r="I43" s="87"/>
      <c r="J43" s="1157">
        <v>20</v>
      </c>
      <c r="K43" s="91" t="s">
        <v>230</v>
      </c>
      <c r="L43" s="91" t="s">
        <v>234</v>
      </c>
      <c r="M43" s="142" t="s">
        <v>245</v>
      </c>
      <c r="N43" s="125"/>
      <c r="O43" s="91" t="s">
        <v>233</v>
      </c>
      <c r="P43" s="91" t="s">
        <v>298</v>
      </c>
      <c r="Q43" s="91" t="s">
        <v>300</v>
      </c>
      <c r="R43" s="1167"/>
      <c r="S43" s="1156">
        <f>TRUNC(R43*J43,2)</f>
        <v>0</v>
      </c>
      <c r="T43" s="1176">
        <v>56.25</v>
      </c>
      <c r="U43" s="1177">
        <f>J43*T43</f>
        <v>1125</v>
      </c>
    </row>
    <row r="44" spans="1:21" ht="17.399999999999999" customHeight="1">
      <c r="A44" s="1158"/>
      <c r="B44" s="1160"/>
      <c r="C44" s="1171"/>
      <c r="D44" s="87">
        <v>5</v>
      </c>
      <c r="E44" s="87">
        <v>1</v>
      </c>
      <c r="F44" s="87">
        <v>4</v>
      </c>
      <c r="G44" s="87">
        <v>1</v>
      </c>
      <c r="H44" s="87">
        <v>1</v>
      </c>
      <c r="I44" s="87">
        <v>3</v>
      </c>
      <c r="J44" s="1158"/>
      <c r="K44" s="126">
        <v>57.59</v>
      </c>
      <c r="L44" s="126">
        <v>53.88</v>
      </c>
      <c r="M44" s="126">
        <v>57.28</v>
      </c>
      <c r="N44" s="127"/>
      <c r="O44" s="126">
        <v>180</v>
      </c>
      <c r="P44" s="126">
        <v>65</v>
      </c>
      <c r="Q44" s="126">
        <v>52.16</v>
      </c>
      <c r="R44" s="1167"/>
      <c r="S44" s="1156"/>
      <c r="T44" s="1176"/>
      <c r="U44" s="1177"/>
    </row>
    <row r="45" spans="1:21" ht="16.95" customHeight="1">
      <c r="A45" s="1172">
        <v>23</v>
      </c>
      <c r="B45" s="1168" t="s">
        <v>126</v>
      </c>
      <c r="C45" s="1163" t="s">
        <v>106</v>
      </c>
      <c r="D45" s="86"/>
      <c r="E45" s="86"/>
      <c r="F45" s="86"/>
      <c r="G45" s="86"/>
      <c r="H45" s="86"/>
      <c r="I45" s="86"/>
      <c r="J45" s="1165">
        <f>SUM(D46:I46)</f>
        <v>9</v>
      </c>
      <c r="K45" s="88" t="s">
        <v>257</v>
      </c>
      <c r="L45" s="88" t="s">
        <v>230</v>
      </c>
      <c r="M45" s="88" t="s">
        <v>258</v>
      </c>
      <c r="N45" s="125"/>
      <c r="O45" s="88" t="s">
        <v>233</v>
      </c>
      <c r="P45" s="88" t="s">
        <v>298</v>
      </c>
      <c r="Q45" s="88" t="s">
        <v>300</v>
      </c>
      <c r="R45" s="1167"/>
      <c r="S45" s="1156">
        <f>TRUNC(R45*J45,2)</f>
        <v>0</v>
      </c>
      <c r="T45" s="1176">
        <v>561.71</v>
      </c>
      <c r="U45" s="1177">
        <f>J45*T45</f>
        <v>5055.3900000000003</v>
      </c>
    </row>
    <row r="46" spans="1:21" ht="17.399999999999999" customHeight="1">
      <c r="A46" s="1173"/>
      <c r="B46" s="1169"/>
      <c r="C46" s="1164"/>
      <c r="D46" s="86">
        <v>3</v>
      </c>
      <c r="E46" s="86">
        <v>1</v>
      </c>
      <c r="F46" s="86">
        <v>2</v>
      </c>
      <c r="G46" s="86">
        <v>1</v>
      </c>
      <c r="H46" s="86">
        <v>1</v>
      </c>
      <c r="I46" s="86">
        <v>1</v>
      </c>
      <c r="J46" s="1166"/>
      <c r="K46" s="88">
        <v>494.14</v>
      </c>
      <c r="L46" s="88">
        <v>473.9</v>
      </c>
      <c r="M46" s="88">
        <v>717.09</v>
      </c>
      <c r="N46" s="125"/>
      <c r="O46" s="88">
        <v>360</v>
      </c>
      <c r="P46" s="88">
        <v>330</v>
      </c>
      <c r="Q46" s="88">
        <v>186.9</v>
      </c>
      <c r="R46" s="1167"/>
      <c r="S46" s="1156"/>
      <c r="T46" s="1176"/>
      <c r="U46" s="1177"/>
    </row>
    <row r="47" spans="1:21" ht="17.399999999999999" customHeight="1">
      <c r="A47" s="1157">
        <v>24</v>
      </c>
      <c r="B47" s="1159" t="s">
        <v>127</v>
      </c>
      <c r="C47" s="1170" t="s">
        <v>106</v>
      </c>
      <c r="D47" s="87"/>
      <c r="E47" s="87"/>
      <c r="F47" s="87"/>
      <c r="G47" s="87"/>
      <c r="H47" s="87"/>
      <c r="I47" s="87"/>
      <c r="J47" s="1157">
        <f>SUM(D48:I48)</f>
        <v>15</v>
      </c>
      <c r="K47" s="91" t="s">
        <v>230</v>
      </c>
      <c r="L47" s="91" t="s">
        <v>231</v>
      </c>
      <c r="M47" s="91" t="s">
        <v>234</v>
      </c>
      <c r="N47" s="125"/>
      <c r="O47" s="91" t="s">
        <v>233</v>
      </c>
      <c r="P47" s="91" t="s">
        <v>298</v>
      </c>
      <c r="Q47" s="91" t="s">
        <v>300</v>
      </c>
      <c r="R47" s="1167"/>
      <c r="S47" s="1156">
        <f>TRUNC(R47*J47,2)</f>
        <v>0</v>
      </c>
      <c r="T47" s="1176">
        <v>31.52</v>
      </c>
      <c r="U47" s="1177">
        <f>J47*T47</f>
        <v>472.8</v>
      </c>
    </row>
    <row r="48" spans="1:21" ht="33" customHeight="1">
      <c r="A48" s="1158"/>
      <c r="B48" s="1160"/>
      <c r="C48" s="1171"/>
      <c r="D48" s="87">
        <v>6</v>
      </c>
      <c r="E48" s="87">
        <v>2</v>
      </c>
      <c r="F48" s="87">
        <v>3</v>
      </c>
      <c r="G48" s="87">
        <v>2</v>
      </c>
      <c r="H48" s="87">
        <v>1</v>
      </c>
      <c r="I48" s="87">
        <v>1</v>
      </c>
      <c r="J48" s="1158"/>
      <c r="K48" s="126">
        <v>29.99</v>
      </c>
      <c r="L48" s="126">
        <v>31.9</v>
      </c>
      <c r="M48" s="126">
        <v>32.68</v>
      </c>
      <c r="N48" s="127"/>
      <c r="O48" s="126">
        <v>40</v>
      </c>
      <c r="P48" s="126">
        <v>18</v>
      </c>
      <c r="Q48" s="126">
        <v>44.98</v>
      </c>
      <c r="R48" s="1167"/>
      <c r="S48" s="1156"/>
      <c r="T48" s="1176"/>
      <c r="U48" s="1177"/>
    </row>
    <row r="49" spans="1:21" ht="33" customHeight="1">
      <c r="A49" s="181">
        <v>25</v>
      </c>
      <c r="B49" s="182" t="s">
        <v>319</v>
      </c>
      <c r="C49" s="183" t="s">
        <v>106</v>
      </c>
      <c r="D49" s="181"/>
      <c r="E49" s="181"/>
      <c r="F49" s="181"/>
      <c r="G49" s="181"/>
      <c r="H49" s="181"/>
      <c r="I49" s="181"/>
      <c r="J49" s="181">
        <v>3</v>
      </c>
      <c r="K49" s="126"/>
      <c r="L49" s="126"/>
      <c r="M49" s="126"/>
      <c r="N49" s="127"/>
      <c r="O49" s="126"/>
      <c r="P49" s="126"/>
      <c r="Q49" s="126"/>
      <c r="R49" s="177"/>
      <c r="S49" s="178"/>
      <c r="T49" s="175"/>
      <c r="U49" s="176"/>
    </row>
    <row r="50" spans="1:21" ht="33" customHeight="1">
      <c r="A50" s="87">
        <v>26</v>
      </c>
      <c r="B50" s="179" t="s">
        <v>320</v>
      </c>
      <c r="C50" s="180" t="s">
        <v>106</v>
      </c>
      <c r="D50" s="87"/>
      <c r="E50" s="87"/>
      <c r="F50" s="87"/>
      <c r="G50" s="87"/>
      <c r="H50" s="87"/>
      <c r="I50" s="87"/>
      <c r="J50" s="87">
        <v>3</v>
      </c>
      <c r="K50" s="126"/>
      <c r="L50" s="126"/>
      <c r="M50" s="126"/>
      <c r="N50" s="127"/>
      <c r="O50" s="126"/>
      <c r="P50" s="126"/>
      <c r="Q50" s="126"/>
      <c r="R50" s="177"/>
      <c r="S50" s="178"/>
      <c r="T50" s="175"/>
      <c r="U50" s="176"/>
    </row>
    <row r="51" spans="1:21" ht="33" customHeight="1">
      <c r="A51" s="181">
        <v>27</v>
      </c>
      <c r="B51" s="182" t="s">
        <v>321</v>
      </c>
      <c r="C51" s="183" t="s">
        <v>106</v>
      </c>
      <c r="D51" s="181"/>
      <c r="E51" s="181"/>
      <c r="F51" s="181"/>
      <c r="G51" s="181"/>
      <c r="H51" s="181"/>
      <c r="I51" s="181"/>
      <c r="J51" s="181">
        <v>3</v>
      </c>
      <c r="K51" s="126"/>
      <c r="L51" s="126"/>
      <c r="M51" s="126"/>
      <c r="N51" s="127"/>
      <c r="O51" s="126"/>
      <c r="P51" s="126"/>
      <c r="Q51" s="126"/>
      <c r="R51" s="177"/>
      <c r="S51" s="178"/>
      <c r="T51" s="175"/>
      <c r="U51" s="176"/>
    </row>
    <row r="52" spans="1:21" ht="33" customHeight="1">
      <c r="A52" s="87">
        <v>28</v>
      </c>
      <c r="B52" s="179" t="s">
        <v>322</v>
      </c>
      <c r="C52" s="180" t="s">
        <v>106</v>
      </c>
      <c r="D52" s="87"/>
      <c r="E52" s="87"/>
      <c r="F52" s="87"/>
      <c r="G52" s="87"/>
      <c r="H52" s="87"/>
      <c r="I52" s="87"/>
      <c r="J52" s="87">
        <v>2</v>
      </c>
      <c r="K52" s="126"/>
      <c r="L52" s="126"/>
      <c r="M52" s="126"/>
      <c r="N52" s="127"/>
      <c r="O52" s="126"/>
      <c r="P52" s="126"/>
      <c r="Q52" s="126"/>
      <c r="R52" s="177"/>
      <c r="S52" s="178"/>
      <c r="T52" s="175"/>
      <c r="U52" s="176"/>
    </row>
    <row r="53" spans="1:21" ht="19.2" customHeight="1">
      <c r="A53" s="1172">
        <v>29</v>
      </c>
      <c r="B53" s="1161" t="s">
        <v>259</v>
      </c>
      <c r="C53" s="1163" t="s">
        <v>106</v>
      </c>
      <c r="D53" s="86"/>
      <c r="E53" s="86"/>
      <c r="F53" s="86"/>
      <c r="G53" s="86"/>
      <c r="H53" s="86"/>
      <c r="I53" s="86"/>
      <c r="J53" s="1165">
        <f>SUM(D54:I54)</f>
        <v>5</v>
      </c>
      <c r="K53" s="92" t="s">
        <v>245</v>
      </c>
      <c r="L53" s="92" t="s">
        <v>231</v>
      </c>
      <c r="M53" s="92" t="s">
        <v>240</v>
      </c>
      <c r="N53" s="127"/>
      <c r="O53" s="92" t="s">
        <v>233</v>
      </c>
      <c r="P53" s="92" t="s">
        <v>298</v>
      </c>
      <c r="Q53" s="92" t="s">
        <v>300</v>
      </c>
      <c r="R53" s="1167"/>
      <c r="S53" s="1156">
        <f>TRUNC(R53*J53,2)</f>
        <v>0</v>
      </c>
      <c r="T53" s="1176">
        <v>629.9</v>
      </c>
      <c r="U53" s="1177">
        <f>J53*T53</f>
        <v>3149.5</v>
      </c>
    </row>
    <row r="54" spans="1:21" ht="27.6" customHeight="1">
      <c r="A54" s="1173"/>
      <c r="B54" s="1162"/>
      <c r="C54" s="1164"/>
      <c r="D54" s="86">
        <v>1</v>
      </c>
      <c r="E54" s="86">
        <v>1</v>
      </c>
      <c r="F54" s="86">
        <v>1</v>
      </c>
      <c r="G54" s="86">
        <v>1</v>
      </c>
      <c r="H54" s="86">
        <v>0</v>
      </c>
      <c r="I54" s="86">
        <v>1</v>
      </c>
      <c r="J54" s="1166"/>
      <c r="K54" s="107">
        <v>646.9</v>
      </c>
      <c r="L54" s="92">
        <v>489.9</v>
      </c>
      <c r="M54" s="92">
        <v>749.9</v>
      </c>
      <c r="N54" s="127"/>
      <c r="O54" s="92">
        <v>900</v>
      </c>
      <c r="P54" s="92">
        <v>1450</v>
      </c>
      <c r="Q54" s="92">
        <v>1800</v>
      </c>
      <c r="R54" s="1167"/>
      <c r="S54" s="1156"/>
      <c r="T54" s="1176"/>
      <c r="U54" s="1177"/>
    </row>
    <row r="55" spans="1:21" ht="18" customHeight="1">
      <c r="A55" s="1157">
        <v>30</v>
      </c>
      <c r="B55" s="1159" t="s">
        <v>128</v>
      </c>
      <c r="C55" s="1170" t="s">
        <v>106</v>
      </c>
      <c r="D55" s="87"/>
      <c r="E55" s="87"/>
      <c r="F55" s="87"/>
      <c r="G55" s="87"/>
      <c r="H55" s="87"/>
      <c r="I55" s="87"/>
      <c r="J55" s="1157" t="e">
        <f>SUM(#REF!)</f>
        <v>#REF!</v>
      </c>
      <c r="K55" s="128" t="s">
        <v>260</v>
      </c>
      <c r="L55" s="91" t="s">
        <v>258</v>
      </c>
      <c r="M55" s="91" t="s">
        <v>231</v>
      </c>
      <c r="N55" s="125"/>
      <c r="O55" s="91" t="s">
        <v>233</v>
      </c>
      <c r="P55" s="91" t="s">
        <v>298</v>
      </c>
      <c r="Q55" s="91" t="s">
        <v>300</v>
      </c>
      <c r="R55" s="1167"/>
      <c r="S55" s="1156" t="e">
        <f>TRUNC(R55*J55,2)</f>
        <v>#REF!</v>
      </c>
      <c r="T55" s="1176">
        <v>52.75</v>
      </c>
      <c r="U55" s="1177" t="e">
        <f>J55*T55</f>
        <v>#REF!</v>
      </c>
    </row>
    <row r="56" spans="1:21" ht="18" customHeight="1">
      <c r="A56" s="1194"/>
      <c r="B56" s="1196"/>
      <c r="C56" s="1195"/>
      <c r="D56" s="87"/>
      <c r="E56" s="87"/>
      <c r="F56" s="87"/>
      <c r="G56" s="87"/>
      <c r="H56" s="87"/>
      <c r="I56" s="87"/>
      <c r="J56" s="1194"/>
      <c r="K56" s="128"/>
      <c r="L56" s="91"/>
      <c r="M56" s="91"/>
      <c r="N56" s="125"/>
      <c r="O56" s="91"/>
      <c r="P56" s="91"/>
      <c r="Q56" s="91"/>
      <c r="R56" s="1167"/>
      <c r="S56" s="1156"/>
      <c r="T56" s="1176"/>
      <c r="U56" s="1177"/>
    </row>
    <row r="57" spans="1:21" ht="18" customHeight="1">
      <c r="A57" s="1194"/>
      <c r="B57" s="1196"/>
      <c r="C57" s="1195"/>
      <c r="D57" s="87"/>
      <c r="E57" s="87"/>
      <c r="F57" s="87"/>
      <c r="G57" s="87"/>
      <c r="H57" s="87"/>
      <c r="I57" s="87"/>
      <c r="J57" s="1194"/>
      <c r="K57" s="128"/>
      <c r="L57" s="91"/>
      <c r="M57" s="91"/>
      <c r="N57" s="125"/>
      <c r="O57" s="91"/>
      <c r="P57" s="91"/>
      <c r="Q57" s="91"/>
      <c r="R57" s="1167"/>
      <c r="S57" s="1156"/>
      <c r="T57" s="1176"/>
      <c r="U57" s="1177"/>
    </row>
    <row r="58" spans="1:21" ht="21" customHeight="1">
      <c r="A58" s="1203" t="s">
        <v>261</v>
      </c>
      <c r="B58" s="1204"/>
      <c r="C58" s="1204"/>
      <c r="D58" s="1204"/>
      <c r="E58" s="1204"/>
      <c r="F58" s="1204"/>
      <c r="G58" s="1204"/>
      <c r="H58" s="1204"/>
      <c r="I58" s="1204"/>
      <c r="J58" s="1204"/>
      <c r="K58" s="1204"/>
      <c r="L58" s="1204"/>
      <c r="M58" s="1204"/>
      <c r="N58" s="1204"/>
      <c r="O58" s="1204"/>
      <c r="P58" s="1204"/>
      <c r="Q58" s="1204"/>
      <c r="R58" s="1205"/>
      <c r="S58" s="93" t="e">
        <f>SUM(S3:S55)</f>
        <v>#REF!</v>
      </c>
      <c r="T58" s="153"/>
      <c r="U58" s="94" t="e">
        <f>SUM(U3:U55)</f>
        <v>#REF!</v>
      </c>
    </row>
    <row r="59" spans="1:21" ht="24" customHeight="1">
      <c r="A59" s="1199" t="s">
        <v>310</v>
      </c>
      <c r="B59" s="1200"/>
      <c r="C59" s="1200"/>
      <c r="D59" s="1200"/>
      <c r="E59" s="1200"/>
      <c r="F59" s="1200"/>
      <c r="G59" s="1200"/>
      <c r="H59" s="1200"/>
      <c r="I59" s="1200"/>
      <c r="J59" s="1200"/>
      <c r="K59" s="1200"/>
      <c r="L59" s="1200"/>
      <c r="M59" s="1200"/>
      <c r="N59" s="1200"/>
      <c r="O59" s="1200"/>
      <c r="P59" s="1200"/>
      <c r="Q59" s="1200"/>
      <c r="R59" s="1201"/>
      <c r="S59" s="95" t="e">
        <f>(S58*0.9)/(12*8)*12</f>
        <v>#REF!</v>
      </c>
      <c r="T59" s="153"/>
      <c r="U59" s="94" t="e">
        <f>(U58*0.9)/(12*8)*12</f>
        <v>#REF!</v>
      </c>
    </row>
    <row r="60" spans="1:21" ht="26.4" customHeight="1">
      <c r="A60" s="1199" t="s">
        <v>309</v>
      </c>
      <c r="B60" s="1200"/>
      <c r="C60" s="1200"/>
      <c r="D60" s="1200"/>
      <c r="E60" s="1200"/>
      <c r="F60" s="1200"/>
      <c r="G60" s="1200"/>
      <c r="H60" s="1200"/>
      <c r="I60" s="1200"/>
      <c r="J60" s="1200"/>
      <c r="K60" s="1200"/>
      <c r="L60" s="1200"/>
      <c r="M60" s="1200"/>
      <c r="N60" s="1200"/>
      <c r="O60" s="1200"/>
      <c r="P60" s="1200"/>
      <c r="Q60" s="1200"/>
      <c r="R60" s="1201"/>
      <c r="S60" s="96" t="e">
        <f>S59/12/24</f>
        <v>#REF!</v>
      </c>
      <c r="T60" s="153"/>
      <c r="U60" s="94" t="e">
        <f>U59/12/24</f>
        <v>#REF!</v>
      </c>
    </row>
    <row r="61" spans="1:21" ht="15.6" customHeight="1">
      <c r="A61" s="173" t="s">
        <v>304</v>
      </c>
      <c r="B61" s="173"/>
      <c r="C61" s="173"/>
      <c r="D61" s="173"/>
      <c r="E61" s="173"/>
      <c r="F61" s="173"/>
      <c r="G61" s="173"/>
      <c r="H61" s="173"/>
      <c r="I61" s="173"/>
      <c r="J61" s="173"/>
      <c r="K61" s="171"/>
      <c r="L61" s="172"/>
      <c r="M61" s="98"/>
      <c r="N61" s="99"/>
      <c r="O61" s="98"/>
      <c r="P61" s="98"/>
      <c r="Q61" s="98"/>
      <c r="R61" s="100"/>
      <c r="S61" s="101"/>
    </row>
    <row r="62" spans="1:21" ht="16.95" customHeight="1">
      <c r="A62" s="1198" t="s">
        <v>311</v>
      </c>
      <c r="B62" s="1198"/>
      <c r="C62" s="1198"/>
      <c r="D62" s="1198"/>
      <c r="E62" s="1198"/>
      <c r="F62" s="1198"/>
      <c r="G62" s="1198"/>
      <c r="H62" s="1198"/>
      <c r="I62" s="1198"/>
      <c r="J62" s="1198"/>
      <c r="K62" s="97"/>
      <c r="L62" s="98"/>
      <c r="M62" s="98"/>
      <c r="N62" s="99"/>
      <c r="O62" s="98"/>
      <c r="P62" s="98"/>
      <c r="Q62" s="98"/>
      <c r="R62" s="100"/>
      <c r="S62" s="101"/>
    </row>
    <row r="63" spans="1:21" ht="13.2" customHeight="1">
      <c r="A63" s="1193" t="s">
        <v>312</v>
      </c>
      <c r="B63" s="1193"/>
      <c r="C63" s="1193"/>
      <c r="D63" s="1193"/>
      <c r="E63" s="1193"/>
      <c r="F63" s="1193"/>
      <c r="G63" s="1193"/>
      <c r="H63" s="1193"/>
      <c r="I63" s="1193"/>
      <c r="J63" s="1193"/>
      <c r="K63" s="1193"/>
      <c r="L63" s="1193"/>
      <c r="M63" s="1193"/>
      <c r="N63" s="1193"/>
      <c r="O63" s="1193"/>
      <c r="P63" s="1193"/>
      <c r="Q63" s="1193"/>
      <c r="R63" s="1193"/>
      <c r="S63" s="1193"/>
      <c r="T63" s="1193"/>
      <c r="U63" s="1193"/>
    </row>
    <row r="64" spans="1:21" ht="36.6" customHeight="1">
      <c r="A64" s="1202" t="s">
        <v>313</v>
      </c>
      <c r="B64" s="1202"/>
      <c r="C64" s="1202"/>
      <c r="D64" s="1202"/>
      <c r="E64" s="1202"/>
      <c r="F64" s="1202"/>
      <c r="G64" s="1202"/>
      <c r="H64" s="1202"/>
      <c r="I64" s="1202"/>
      <c r="J64" s="1202"/>
      <c r="K64" s="1202"/>
      <c r="L64" s="1202"/>
      <c r="M64" s="1202"/>
      <c r="N64" s="1202"/>
      <c r="O64" s="1202"/>
      <c r="P64" s="1202"/>
      <c r="Q64" s="1202"/>
      <c r="R64" s="1202"/>
      <c r="S64" s="1202"/>
      <c r="T64" s="1202"/>
      <c r="U64" s="1202"/>
    </row>
    <row r="66" spans="1:20" ht="15.6">
      <c r="A66" s="1192"/>
      <c r="B66" s="1192"/>
      <c r="C66" s="1192"/>
      <c r="D66" s="1192"/>
      <c r="E66" s="1192"/>
      <c r="F66" s="1192"/>
      <c r="G66" s="1192"/>
      <c r="H66" s="1192"/>
      <c r="I66" s="1192"/>
      <c r="J66" s="1192"/>
      <c r="K66" s="1192"/>
      <c r="L66" s="1192"/>
      <c r="M66" s="1192"/>
      <c r="N66" s="1192"/>
      <c r="O66" s="1192"/>
      <c r="P66" s="1192"/>
      <c r="Q66" s="1192"/>
      <c r="R66" s="1192"/>
      <c r="S66" s="1192"/>
      <c r="T66" s="1192"/>
    </row>
    <row r="67" spans="1:20" ht="15.6">
      <c r="A67" s="1197"/>
      <c r="B67" s="1197"/>
      <c r="C67" s="1197"/>
      <c r="D67" s="1197"/>
      <c r="E67" s="1197"/>
      <c r="F67" s="1197"/>
      <c r="G67" s="1197"/>
      <c r="H67" s="1197"/>
      <c r="I67" s="1197"/>
      <c r="J67" s="1197"/>
      <c r="K67" s="1197"/>
      <c r="L67" s="1197"/>
      <c r="M67" s="1197"/>
      <c r="N67" s="1197"/>
      <c r="O67" s="1197"/>
      <c r="P67" s="1197"/>
      <c r="Q67" s="1197"/>
      <c r="R67" s="1197"/>
      <c r="S67" s="1197"/>
      <c r="T67" s="1197"/>
    </row>
  </sheetData>
  <mergeCells count="212">
    <mergeCell ref="A67:T67"/>
    <mergeCell ref="A62:J62"/>
    <mergeCell ref="A59:R59"/>
    <mergeCell ref="A60:R60"/>
    <mergeCell ref="A64:U64"/>
    <mergeCell ref="T55:T57"/>
    <mergeCell ref="U55:U57"/>
    <mergeCell ref="T39:T40"/>
    <mergeCell ref="U39:U40"/>
    <mergeCell ref="T41:T42"/>
    <mergeCell ref="U41:U42"/>
    <mergeCell ref="T47:T48"/>
    <mergeCell ref="U47:U48"/>
    <mergeCell ref="T53:T54"/>
    <mergeCell ref="U53:U54"/>
    <mergeCell ref="A58:R58"/>
    <mergeCell ref="A39:A40"/>
    <mergeCell ref="B39:B40"/>
    <mergeCell ref="C39:C40"/>
    <mergeCell ref="J39:J40"/>
    <mergeCell ref="R39:R40"/>
    <mergeCell ref="A41:A42"/>
    <mergeCell ref="J53:J54"/>
    <mergeCell ref="R53:R54"/>
    <mergeCell ref="T35:T36"/>
    <mergeCell ref="U35:U36"/>
    <mergeCell ref="T43:T44"/>
    <mergeCell ref="U43:U44"/>
    <mergeCell ref="T45:T46"/>
    <mergeCell ref="U45:U46"/>
    <mergeCell ref="T37:T38"/>
    <mergeCell ref="U37:U38"/>
    <mergeCell ref="A66:T66"/>
    <mergeCell ref="C35:C36"/>
    <mergeCell ref="J35:J36"/>
    <mergeCell ref="R35:R36"/>
    <mergeCell ref="A63:U63"/>
    <mergeCell ref="A55:A57"/>
    <mergeCell ref="S55:S57"/>
    <mergeCell ref="R55:R57"/>
    <mergeCell ref="J55:J57"/>
    <mergeCell ref="C55:C57"/>
    <mergeCell ref="B55:B57"/>
    <mergeCell ref="S47:S48"/>
    <mergeCell ref="A53:A54"/>
    <mergeCell ref="S41:S42"/>
    <mergeCell ref="B53:B54"/>
    <mergeCell ref="C53:C54"/>
    <mergeCell ref="T19:T20"/>
    <mergeCell ref="U19:U20"/>
    <mergeCell ref="T21:T22"/>
    <mergeCell ref="U21:U22"/>
    <mergeCell ref="T23:T24"/>
    <mergeCell ref="U23:U24"/>
    <mergeCell ref="T31:T32"/>
    <mergeCell ref="U31:U32"/>
    <mergeCell ref="T33:T34"/>
    <mergeCell ref="U33:U34"/>
    <mergeCell ref="J25:J26"/>
    <mergeCell ref="C25:C26"/>
    <mergeCell ref="S27:S28"/>
    <mergeCell ref="T25:T26"/>
    <mergeCell ref="U25:U26"/>
    <mergeCell ref="T27:T28"/>
    <mergeCell ref="U27:U28"/>
    <mergeCell ref="T29:T30"/>
    <mergeCell ref="U29:U30"/>
    <mergeCell ref="A25:A26"/>
    <mergeCell ref="B25:B26"/>
    <mergeCell ref="T13:T14"/>
    <mergeCell ref="U13:U14"/>
    <mergeCell ref="T15:T16"/>
    <mergeCell ref="U15:U16"/>
    <mergeCell ref="T17:T18"/>
    <mergeCell ref="U17:U18"/>
    <mergeCell ref="T7:T8"/>
    <mergeCell ref="U7:U8"/>
    <mergeCell ref="T9:T10"/>
    <mergeCell ref="U9:U10"/>
    <mergeCell ref="T11:T12"/>
    <mergeCell ref="U11:U12"/>
    <mergeCell ref="S15:S16"/>
    <mergeCell ref="R17:R18"/>
    <mergeCell ref="S17:S18"/>
    <mergeCell ref="R15:R16"/>
    <mergeCell ref="J23:J24"/>
    <mergeCell ref="C23:C24"/>
    <mergeCell ref="B23:B24"/>
    <mergeCell ref="A23:A24"/>
    <mergeCell ref="A21:A22"/>
    <mergeCell ref="B21:B22"/>
    <mergeCell ref="J3:J4"/>
    <mergeCell ref="R5:R6"/>
    <mergeCell ref="S11:S12"/>
    <mergeCell ref="R1:S1"/>
    <mergeCell ref="K1:Q2"/>
    <mergeCell ref="A1:J1"/>
    <mergeCell ref="S9:S10"/>
    <mergeCell ref="A3:A4"/>
    <mergeCell ref="B3:B4"/>
    <mergeCell ref="C3:C4"/>
    <mergeCell ref="J7:J8"/>
    <mergeCell ref="C9:C10"/>
    <mergeCell ref="A11:A12"/>
    <mergeCell ref="B11:B12"/>
    <mergeCell ref="C11:C12"/>
    <mergeCell ref="A9:A10"/>
    <mergeCell ref="B9:B10"/>
    <mergeCell ref="A7:A8"/>
    <mergeCell ref="B7:B8"/>
    <mergeCell ref="C7:C8"/>
    <mergeCell ref="A5:A6"/>
    <mergeCell ref="B5:B6"/>
    <mergeCell ref="C5:C6"/>
    <mergeCell ref="J5:J6"/>
    <mergeCell ref="T1:U1"/>
    <mergeCell ref="T3:T4"/>
    <mergeCell ref="U3:U4"/>
    <mergeCell ref="T5:T6"/>
    <mergeCell ref="U5:U6"/>
    <mergeCell ref="R3:R4"/>
    <mergeCell ref="R13:R14"/>
    <mergeCell ref="S13:S14"/>
    <mergeCell ref="S3:S4"/>
    <mergeCell ref="S5:S6"/>
    <mergeCell ref="R9:R10"/>
    <mergeCell ref="R11:R12"/>
    <mergeCell ref="R7:R8"/>
    <mergeCell ref="S7:S8"/>
    <mergeCell ref="J9:J10"/>
    <mergeCell ref="C17:C18"/>
    <mergeCell ref="J17:J18"/>
    <mergeCell ref="A15:A16"/>
    <mergeCell ref="B15:B16"/>
    <mergeCell ref="C15:C16"/>
    <mergeCell ref="J15:J16"/>
    <mergeCell ref="J13:J14"/>
    <mergeCell ref="C13:C14"/>
    <mergeCell ref="B13:B14"/>
    <mergeCell ref="A13:A14"/>
    <mergeCell ref="A17:A18"/>
    <mergeCell ref="B17:B18"/>
    <mergeCell ref="J11:J12"/>
    <mergeCell ref="A19:A20"/>
    <mergeCell ref="B19:B20"/>
    <mergeCell ref="C19:C20"/>
    <mergeCell ref="J19:J20"/>
    <mergeCell ref="R21:R22"/>
    <mergeCell ref="C21:C22"/>
    <mergeCell ref="J21:J22"/>
    <mergeCell ref="S21:S22"/>
    <mergeCell ref="R23:R24"/>
    <mergeCell ref="S23:S24"/>
    <mergeCell ref="R19:R20"/>
    <mergeCell ref="S19:S20"/>
    <mergeCell ref="A27:A28"/>
    <mergeCell ref="B27:B28"/>
    <mergeCell ref="C27:C28"/>
    <mergeCell ref="J27:J28"/>
    <mergeCell ref="R27:R28"/>
    <mergeCell ref="R25:R26"/>
    <mergeCell ref="S25:S26"/>
    <mergeCell ref="S39:S40"/>
    <mergeCell ref="C29:C30"/>
    <mergeCell ref="B29:B30"/>
    <mergeCell ref="A29:A30"/>
    <mergeCell ref="A33:A34"/>
    <mergeCell ref="B33:B34"/>
    <mergeCell ref="C33:C34"/>
    <mergeCell ref="J33:J34"/>
    <mergeCell ref="R33:R34"/>
    <mergeCell ref="S33:S34"/>
    <mergeCell ref="S35:S36"/>
    <mergeCell ref="S37:S38"/>
    <mergeCell ref="R37:R38"/>
    <mergeCell ref="J37:J38"/>
    <mergeCell ref="C37:C38"/>
    <mergeCell ref="A35:A36"/>
    <mergeCell ref="B35:B36"/>
    <mergeCell ref="A31:A32"/>
    <mergeCell ref="B31:B32"/>
    <mergeCell ref="C31:C32"/>
    <mergeCell ref="S29:S30"/>
    <mergeCell ref="B37:B38"/>
    <mergeCell ref="A37:A38"/>
    <mergeCell ref="R29:R30"/>
    <mergeCell ref="J29:J30"/>
    <mergeCell ref="J31:J32"/>
    <mergeCell ref="R31:R32"/>
    <mergeCell ref="S31:S32"/>
    <mergeCell ref="S53:S54"/>
    <mergeCell ref="A47:A48"/>
    <mergeCell ref="B47:B48"/>
    <mergeCell ref="B41:B42"/>
    <mergeCell ref="C41:C42"/>
    <mergeCell ref="J41:J42"/>
    <mergeCell ref="R41:R42"/>
    <mergeCell ref="B45:B46"/>
    <mergeCell ref="C47:C48"/>
    <mergeCell ref="J47:J48"/>
    <mergeCell ref="R47:R48"/>
    <mergeCell ref="S43:S44"/>
    <mergeCell ref="A45:A46"/>
    <mergeCell ref="A43:A44"/>
    <mergeCell ref="B43:B44"/>
    <mergeCell ref="C43:C44"/>
    <mergeCell ref="J43:J44"/>
    <mergeCell ref="R43:R44"/>
    <mergeCell ref="C45:C46"/>
    <mergeCell ref="J45:J46"/>
    <mergeCell ref="R45:R46"/>
    <mergeCell ref="S45:S46"/>
  </mergeCells>
  <printOptions horizontalCentered="1" verticalCentered="1"/>
  <pageMargins left="0.25" right="0.25" top="0.75" bottom="0.75" header="0.3" footer="0.3"/>
  <pageSetup paperSize="9" firstPageNumber="0" fitToHeight="0" orientation="landscape" r:id="rId1"/>
  <rowBreaks count="3" manualBreakCount="3">
    <brk id="18" max="20" man="1"/>
    <brk id="46" max="20" man="1"/>
    <brk id="6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20"/>
  <sheetViews>
    <sheetView showGridLines="0" zoomScalePageLayoutView="60" workbookViewId="0">
      <selection activeCell="X15" sqref="X15"/>
    </sheetView>
  </sheetViews>
  <sheetFormatPr defaultColWidth="8.88671875" defaultRowHeight="13.8"/>
  <cols>
    <col min="1" max="1" width="5.5546875" style="81" customWidth="1"/>
    <col min="2" max="2" width="17.33203125" style="81" customWidth="1"/>
    <col min="3" max="3" width="8.88671875" style="81"/>
    <col min="4" max="7" width="0" style="81" hidden="1" customWidth="1"/>
    <col min="8" max="8" width="8" style="81" customWidth="1"/>
    <col min="9" max="9" width="19" style="122" hidden="1" customWidth="1"/>
    <col min="10" max="10" width="12.6640625" style="122" hidden="1" customWidth="1"/>
    <col min="11" max="11" width="15.33203125" style="122" hidden="1" customWidth="1"/>
    <col min="12" max="12" width="17.33203125" style="122" hidden="1" customWidth="1"/>
    <col min="13" max="13" width="12.6640625" style="122" hidden="1" customWidth="1"/>
    <col min="14" max="16" width="14.109375" style="122" hidden="1" customWidth="1"/>
    <col min="17" max="17" width="10.6640625" style="122" customWidth="1"/>
    <col min="18" max="18" width="9.33203125" style="122" customWidth="1"/>
    <col min="19" max="19" width="10.6640625" style="123" hidden="1" customWidth="1"/>
    <col min="20" max="20" width="9.33203125" style="123" hidden="1" customWidth="1"/>
    <col min="21" max="16384" width="8.88671875" style="81"/>
  </cols>
  <sheetData>
    <row r="1" spans="1:21" ht="44.4" customHeight="1">
      <c r="A1" s="1237" t="s">
        <v>262</v>
      </c>
      <c r="B1" s="1238"/>
      <c r="C1" s="1238"/>
      <c r="D1" s="1238"/>
      <c r="E1" s="1238"/>
      <c r="F1" s="1238"/>
      <c r="G1" s="1238"/>
      <c r="H1" s="1238"/>
      <c r="I1" s="1238"/>
      <c r="J1" s="1238"/>
      <c r="K1" s="1238"/>
      <c r="L1" s="1238"/>
      <c r="M1" s="1238"/>
      <c r="N1" s="1238"/>
      <c r="O1" s="1238"/>
      <c r="P1" s="1239"/>
      <c r="Q1" s="1229" t="s">
        <v>315</v>
      </c>
      <c r="R1" s="1229"/>
      <c r="S1" s="1243" t="s">
        <v>263</v>
      </c>
      <c r="T1" s="1243"/>
    </row>
    <row r="2" spans="1:21" ht="40.5" customHeight="1">
      <c r="A2" s="136" t="s">
        <v>0</v>
      </c>
      <c r="B2" s="136" t="s">
        <v>99</v>
      </c>
      <c r="C2" s="136" t="s">
        <v>100</v>
      </c>
      <c r="D2" s="137" t="s">
        <v>129</v>
      </c>
      <c r="E2" s="137" t="s">
        <v>130</v>
      </c>
      <c r="F2" s="137" t="s">
        <v>101</v>
      </c>
      <c r="G2" s="137" t="s">
        <v>102</v>
      </c>
      <c r="H2" s="140" t="s">
        <v>104</v>
      </c>
      <c r="I2" s="1240" t="s">
        <v>308</v>
      </c>
      <c r="J2" s="1241"/>
      <c r="K2" s="1241"/>
      <c r="L2" s="1241"/>
      <c r="M2" s="1241"/>
      <c r="N2" s="1241"/>
      <c r="O2" s="1241"/>
      <c r="P2" s="1242"/>
      <c r="Q2" s="82" t="s">
        <v>229</v>
      </c>
      <c r="R2" s="138" t="s">
        <v>104</v>
      </c>
      <c r="S2" s="83" t="s">
        <v>229</v>
      </c>
      <c r="T2" s="139" t="s">
        <v>104</v>
      </c>
    </row>
    <row r="3" spans="1:21" ht="21" customHeight="1">
      <c r="A3" s="1230">
        <v>1</v>
      </c>
      <c r="B3" s="1232" t="s">
        <v>131</v>
      </c>
      <c r="C3" s="1234" t="s">
        <v>106</v>
      </c>
      <c r="D3" s="109"/>
      <c r="E3" s="109"/>
      <c r="F3" s="109"/>
      <c r="G3" s="109"/>
      <c r="H3" s="1213">
        <f>SUM(D4:G4)</f>
        <v>4</v>
      </c>
      <c r="I3" s="164" t="s">
        <v>231</v>
      </c>
      <c r="J3" s="164"/>
      <c r="K3" s="165" t="s">
        <v>230</v>
      </c>
      <c r="L3" s="165" t="s">
        <v>232</v>
      </c>
      <c r="M3" s="166"/>
      <c r="N3" s="165" t="s">
        <v>219</v>
      </c>
      <c r="O3" s="165" t="s">
        <v>298</v>
      </c>
      <c r="P3" s="165" t="s">
        <v>300</v>
      </c>
      <c r="Q3" s="1215"/>
      <c r="R3" s="1221">
        <f>TRUNC(Q3*H3,2)</f>
        <v>0</v>
      </c>
      <c r="S3" s="1217">
        <v>569.29999999999995</v>
      </c>
      <c r="T3" s="1219">
        <v>2277.1999999999998</v>
      </c>
    </row>
    <row r="4" spans="1:21" ht="24" customHeight="1">
      <c r="A4" s="1231"/>
      <c r="B4" s="1233"/>
      <c r="C4" s="1235"/>
      <c r="D4" s="110">
        <v>1</v>
      </c>
      <c r="E4" s="110">
        <v>1</v>
      </c>
      <c r="F4" s="110">
        <v>1</v>
      </c>
      <c r="G4" s="110">
        <v>1</v>
      </c>
      <c r="H4" s="1214"/>
      <c r="I4" s="129">
        <v>589</v>
      </c>
      <c r="J4" s="130">
        <f>I4*H3</f>
        <v>2356</v>
      </c>
      <c r="K4" s="131">
        <v>539</v>
      </c>
      <c r="L4" s="131">
        <v>579.9</v>
      </c>
      <c r="M4" s="132">
        <f>H3*L4</f>
        <v>2319.6</v>
      </c>
      <c r="N4" s="131">
        <v>500</v>
      </c>
      <c r="O4" s="147">
        <v>1650</v>
      </c>
      <c r="P4" s="147">
        <v>3199</v>
      </c>
      <c r="Q4" s="1216"/>
      <c r="R4" s="1222"/>
      <c r="S4" s="1218"/>
      <c r="T4" s="1220"/>
      <c r="U4" s="174"/>
    </row>
    <row r="5" spans="1:21" ht="24" customHeight="1">
      <c r="A5" s="1207">
        <v>2</v>
      </c>
      <c r="B5" s="1190" t="s">
        <v>132</v>
      </c>
      <c r="C5" s="1209" t="s">
        <v>106</v>
      </c>
      <c r="D5" s="111"/>
      <c r="E5" s="111"/>
      <c r="F5" s="111"/>
      <c r="G5" s="111"/>
      <c r="H5" s="1211">
        <f>SUM(D6:G6)</f>
        <v>4</v>
      </c>
      <c r="I5" s="161" t="s">
        <v>255</v>
      </c>
      <c r="J5" s="162"/>
      <c r="K5" s="163" t="s">
        <v>240</v>
      </c>
      <c r="L5" s="157" t="s">
        <v>231</v>
      </c>
      <c r="M5" s="156"/>
      <c r="N5" s="157" t="s">
        <v>219</v>
      </c>
      <c r="O5" s="157" t="s">
        <v>298</v>
      </c>
      <c r="P5" s="157" t="s">
        <v>300</v>
      </c>
      <c r="Q5" s="1215"/>
      <c r="R5" s="1221">
        <f>TRUNC(Q5*H5,2)</f>
        <v>0</v>
      </c>
      <c r="S5" s="1217">
        <v>653.33000000000004</v>
      </c>
      <c r="T5" s="1219">
        <v>2613.3200000000002</v>
      </c>
      <c r="U5" s="174"/>
    </row>
    <row r="6" spans="1:21" ht="22.2" customHeight="1">
      <c r="A6" s="1208"/>
      <c r="B6" s="1191"/>
      <c r="C6" s="1210"/>
      <c r="D6" s="111">
        <v>1</v>
      </c>
      <c r="E6" s="111">
        <v>1</v>
      </c>
      <c r="F6" s="111">
        <v>1</v>
      </c>
      <c r="G6" s="111">
        <v>1</v>
      </c>
      <c r="H6" s="1212"/>
      <c r="I6" s="133">
        <v>584.1</v>
      </c>
      <c r="J6" s="134">
        <f>I6*H5</f>
        <v>2336.4</v>
      </c>
      <c r="K6" s="113">
        <v>549.99</v>
      </c>
      <c r="L6" s="113">
        <v>825.9</v>
      </c>
      <c r="M6" s="132">
        <f>H5*L6</f>
        <v>3303.6</v>
      </c>
      <c r="N6" s="113">
        <v>500</v>
      </c>
      <c r="O6" s="148">
        <v>420</v>
      </c>
      <c r="P6" s="148">
        <v>2799.99</v>
      </c>
      <c r="Q6" s="1216"/>
      <c r="R6" s="1222"/>
      <c r="S6" s="1218"/>
      <c r="T6" s="1220"/>
      <c r="U6" s="174"/>
    </row>
    <row r="7" spans="1:21" ht="22.95" customHeight="1">
      <c r="A7" s="1230">
        <v>3</v>
      </c>
      <c r="B7" s="1232" t="s">
        <v>133</v>
      </c>
      <c r="C7" s="1234" t="s">
        <v>106</v>
      </c>
      <c r="D7" s="110"/>
      <c r="E7" s="110"/>
      <c r="F7" s="110"/>
      <c r="G7" s="110"/>
      <c r="H7" s="1213">
        <v>4</v>
      </c>
      <c r="I7" s="158" t="s">
        <v>264</v>
      </c>
      <c r="J7" s="159"/>
      <c r="K7" s="167" t="s">
        <v>265</v>
      </c>
      <c r="L7" s="160" t="s">
        <v>231</v>
      </c>
      <c r="M7" s="156"/>
      <c r="N7" s="160" t="s">
        <v>219</v>
      </c>
      <c r="O7" s="160" t="s">
        <v>298</v>
      </c>
      <c r="P7" s="160" t="s">
        <v>300</v>
      </c>
      <c r="Q7" s="1215"/>
      <c r="R7" s="1221">
        <f>TRUNC(Q7*H7,2)</f>
        <v>0</v>
      </c>
      <c r="S7" s="1217">
        <v>129.43</v>
      </c>
      <c r="T7" s="1219">
        <v>517.71</v>
      </c>
      <c r="U7" s="174"/>
    </row>
    <row r="8" spans="1:21" ht="15.6" customHeight="1">
      <c r="A8" s="1231"/>
      <c r="B8" s="1233"/>
      <c r="C8" s="1235"/>
      <c r="D8" s="110">
        <v>1</v>
      </c>
      <c r="E8" s="110">
        <v>1</v>
      </c>
      <c r="F8" s="110">
        <v>1</v>
      </c>
      <c r="G8" s="110">
        <v>1</v>
      </c>
      <c r="H8" s="1214"/>
      <c r="I8" s="143">
        <v>95.87</v>
      </c>
      <c r="J8" s="135">
        <f>I8*H7</f>
        <v>383.48</v>
      </c>
      <c r="K8" s="112">
        <v>138.51</v>
      </c>
      <c r="L8" s="112">
        <v>153.9</v>
      </c>
      <c r="M8" s="132">
        <f>H7*L8</f>
        <v>615.6</v>
      </c>
      <c r="N8" s="112">
        <v>0</v>
      </c>
      <c r="O8" s="149">
        <v>70</v>
      </c>
      <c r="P8" s="112">
        <v>132</v>
      </c>
      <c r="Q8" s="1216"/>
      <c r="R8" s="1222"/>
      <c r="S8" s="1218"/>
      <c r="T8" s="1220"/>
      <c r="U8" s="174"/>
    </row>
    <row r="9" spans="1:21" ht="19.2" customHeight="1">
      <c r="A9" s="1207">
        <v>4</v>
      </c>
      <c r="B9" s="1190" t="s">
        <v>134</v>
      </c>
      <c r="C9" s="1209" t="s">
        <v>106</v>
      </c>
      <c r="D9" s="111"/>
      <c r="E9" s="111"/>
      <c r="F9" s="111"/>
      <c r="G9" s="111"/>
      <c r="H9" s="1211">
        <v>4</v>
      </c>
      <c r="I9" s="168" t="s">
        <v>257</v>
      </c>
      <c r="J9" s="154"/>
      <c r="K9" s="155" t="s">
        <v>230</v>
      </c>
      <c r="L9" s="155" t="s">
        <v>258</v>
      </c>
      <c r="M9" s="156"/>
      <c r="N9" s="157" t="s">
        <v>219</v>
      </c>
      <c r="O9" s="157" t="s">
        <v>298</v>
      </c>
      <c r="P9" s="157" t="s">
        <v>300</v>
      </c>
      <c r="Q9" s="1215"/>
      <c r="R9" s="1221">
        <f>TRUNC(Q9*H9,2)</f>
        <v>0</v>
      </c>
      <c r="S9" s="1217">
        <v>561.71</v>
      </c>
      <c r="T9" s="1219">
        <v>2246.84</v>
      </c>
      <c r="U9" s="174"/>
    </row>
    <row r="10" spans="1:21" ht="18" customHeight="1">
      <c r="A10" s="1208"/>
      <c r="B10" s="1191"/>
      <c r="C10" s="1210"/>
      <c r="D10" s="111">
        <v>1</v>
      </c>
      <c r="E10" s="111">
        <v>1</v>
      </c>
      <c r="F10" s="111">
        <v>1</v>
      </c>
      <c r="G10" s="111">
        <v>1</v>
      </c>
      <c r="H10" s="1212"/>
      <c r="I10" s="133">
        <v>494.14</v>
      </c>
      <c r="J10" s="134">
        <f>I10*H9</f>
        <v>1976.56</v>
      </c>
      <c r="K10" s="113">
        <v>473.9</v>
      </c>
      <c r="L10" s="113">
        <v>717.09</v>
      </c>
      <c r="M10" s="132">
        <f>H9*L10</f>
        <v>2868.36</v>
      </c>
      <c r="N10" s="113">
        <v>0</v>
      </c>
      <c r="O10" s="148">
        <v>100</v>
      </c>
      <c r="P10" s="113">
        <v>431.88</v>
      </c>
      <c r="Q10" s="1216"/>
      <c r="R10" s="1222"/>
      <c r="S10" s="1218"/>
      <c r="T10" s="1220"/>
      <c r="U10" s="174"/>
    </row>
    <row r="11" spans="1:21" ht="25.2" customHeight="1">
      <c r="A11" s="1223" t="s">
        <v>266</v>
      </c>
      <c r="B11" s="1224"/>
      <c r="C11" s="1224"/>
      <c r="D11" s="1224"/>
      <c r="E11" s="1224"/>
      <c r="F11" s="1224"/>
      <c r="G11" s="1224"/>
      <c r="H11" s="1224"/>
      <c r="I11" s="1224"/>
      <c r="J11" s="1224"/>
      <c r="K11" s="1224"/>
      <c r="L11" s="1224"/>
      <c r="M11" s="1224"/>
      <c r="N11" s="1224"/>
      <c r="O11" s="1224"/>
      <c r="P11" s="1225"/>
      <c r="Q11" s="114" t="s">
        <v>89</v>
      </c>
      <c r="R11" s="115">
        <f>SUM(R3:R9)</f>
        <v>0</v>
      </c>
      <c r="S11" s="116" t="s">
        <v>89</v>
      </c>
      <c r="T11" s="117">
        <f>SUM(T3:T9)</f>
        <v>7655.0700000000006</v>
      </c>
    </row>
    <row r="12" spans="1:21" ht="24.6" customHeight="1">
      <c r="A12" s="1223" t="s">
        <v>302</v>
      </c>
      <c r="B12" s="1224"/>
      <c r="C12" s="1224"/>
      <c r="D12" s="1224"/>
      <c r="E12" s="1224"/>
      <c r="F12" s="1224"/>
      <c r="G12" s="1224"/>
      <c r="H12" s="1224"/>
      <c r="I12" s="1224"/>
      <c r="J12" s="1224"/>
      <c r="K12" s="1224"/>
      <c r="L12" s="1224"/>
      <c r="M12" s="1224"/>
      <c r="N12" s="1224"/>
      <c r="O12" s="1224"/>
      <c r="P12" s="1225"/>
      <c r="Q12" s="114" t="s">
        <v>89</v>
      </c>
      <c r="R12" s="118">
        <f>(R11*0.9)/(12*8)*12</f>
        <v>0</v>
      </c>
      <c r="S12" s="116" t="s">
        <v>89</v>
      </c>
      <c r="T12" s="119">
        <f>(T11*0.9)/(12*8)*12</f>
        <v>861.19537500000001</v>
      </c>
    </row>
    <row r="13" spans="1:21" ht="26.4" customHeight="1">
      <c r="A13" s="1226" t="s">
        <v>303</v>
      </c>
      <c r="B13" s="1227"/>
      <c r="C13" s="1227"/>
      <c r="D13" s="1227"/>
      <c r="E13" s="1227"/>
      <c r="F13" s="1227"/>
      <c r="G13" s="1227"/>
      <c r="H13" s="1227"/>
      <c r="I13" s="1227"/>
      <c r="J13" s="1227"/>
      <c r="K13" s="1227"/>
      <c r="L13" s="1227"/>
      <c r="M13" s="1227"/>
      <c r="N13" s="1227"/>
      <c r="O13" s="1227"/>
      <c r="P13" s="1228"/>
      <c r="Q13" s="114" t="s">
        <v>89</v>
      </c>
      <c r="R13" s="120">
        <f>R12/12/4</f>
        <v>0</v>
      </c>
      <c r="S13" s="116" t="s">
        <v>89</v>
      </c>
      <c r="T13" s="119">
        <f>T12/12/4</f>
        <v>17.941570312500001</v>
      </c>
    </row>
    <row r="14" spans="1:21" ht="21.6" customHeight="1">
      <c r="A14" s="1192" t="s">
        <v>304</v>
      </c>
      <c r="B14" s="1192"/>
      <c r="C14" s="1192"/>
      <c r="D14" s="1192"/>
      <c r="E14" s="1192"/>
      <c r="F14" s="1192"/>
      <c r="G14" s="1192"/>
      <c r="H14" s="1192"/>
      <c r="I14" s="1192"/>
      <c r="J14" s="1192"/>
      <c r="K14" s="1192"/>
      <c r="L14" s="1192"/>
      <c r="M14" s="1192"/>
      <c r="N14" s="1192"/>
      <c r="O14" s="1192"/>
      <c r="P14" s="1192"/>
      <c r="Q14" s="1192"/>
      <c r="R14" s="1192"/>
      <c r="S14" s="1192"/>
      <c r="T14" s="1192"/>
    </row>
    <row r="15" spans="1:21" ht="20.399999999999999" customHeight="1">
      <c r="A15" s="1197" t="s">
        <v>305</v>
      </c>
      <c r="B15" s="1197"/>
      <c r="C15" s="1197"/>
      <c r="D15" s="1197"/>
      <c r="E15" s="1197"/>
      <c r="F15" s="1197"/>
      <c r="G15" s="1197"/>
      <c r="H15" s="1197"/>
      <c r="I15" s="1197"/>
      <c r="J15" s="1197"/>
      <c r="K15" s="1197"/>
      <c r="L15" s="1197"/>
      <c r="M15" s="1197"/>
      <c r="N15" s="1197"/>
      <c r="O15" s="1197"/>
      <c r="P15" s="1197"/>
      <c r="Q15" s="1197"/>
      <c r="R15" s="1197"/>
      <c r="S15" s="1197"/>
      <c r="T15" s="1197"/>
    </row>
    <row r="16" spans="1:21" ht="20.399999999999999" customHeight="1">
      <c r="A16" s="144" t="s">
        <v>301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</row>
    <row r="17" spans="1:20" ht="39.6" customHeight="1">
      <c r="A17" s="1206" t="s">
        <v>307</v>
      </c>
      <c r="B17" s="1206"/>
      <c r="C17" s="1206"/>
      <c r="D17" s="1206"/>
      <c r="E17" s="1206"/>
      <c r="F17" s="1206"/>
      <c r="G17" s="1206"/>
      <c r="H17" s="1206"/>
      <c r="I17" s="1206"/>
      <c r="J17" s="1206"/>
      <c r="K17" s="1206"/>
      <c r="L17" s="1206"/>
      <c r="M17" s="1206"/>
      <c r="N17" s="1206"/>
      <c r="O17" s="1206"/>
      <c r="P17" s="1206"/>
      <c r="Q17" s="1206"/>
      <c r="R17" s="1206"/>
      <c r="S17" s="1206"/>
      <c r="T17" s="1206"/>
    </row>
    <row r="18" spans="1:20" ht="15.6">
      <c r="A18" s="1197" t="s">
        <v>306</v>
      </c>
      <c r="B18" s="1197"/>
      <c r="C18" s="1197"/>
      <c r="D18" s="1197"/>
      <c r="E18" s="1197"/>
      <c r="F18" s="1197"/>
      <c r="G18" s="1197"/>
      <c r="H18" s="1197"/>
      <c r="I18" s="1197"/>
      <c r="J18" s="1197"/>
      <c r="K18" s="1197"/>
      <c r="L18" s="1197"/>
      <c r="M18" s="1197"/>
      <c r="N18" s="1197"/>
      <c r="O18" s="1197"/>
      <c r="P18" s="1197"/>
      <c r="Q18" s="1197"/>
      <c r="R18" s="1197"/>
      <c r="S18" s="1197"/>
      <c r="T18" s="1197"/>
    </row>
    <row r="19" spans="1:20" ht="23.4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 s="121"/>
      <c r="T19" s="121"/>
    </row>
    <row r="20" spans="1:20" s="104" customFormat="1" ht="27" customHeight="1">
      <c r="A20" s="1236"/>
      <c r="B20" s="1236"/>
      <c r="C20" s="1236"/>
      <c r="D20" s="1236"/>
      <c r="E20" s="1236"/>
      <c r="F20" s="1236"/>
      <c r="G20" s="1236"/>
      <c r="H20" s="1236"/>
      <c r="I20" s="1236"/>
      <c r="J20" s="1236"/>
      <c r="K20" s="1236"/>
      <c r="L20" s="1236"/>
      <c r="M20" s="1236"/>
      <c r="N20" s="1236"/>
      <c r="O20" s="1236"/>
      <c r="P20" s="1236"/>
      <c r="Q20" s="1236"/>
      <c r="R20" s="1236"/>
      <c r="S20" s="1236"/>
    </row>
  </sheetData>
  <mergeCells count="44">
    <mergeCell ref="A20:S20"/>
    <mergeCell ref="A1:P1"/>
    <mergeCell ref="I2:P2"/>
    <mergeCell ref="S1:T1"/>
    <mergeCell ref="S3:S4"/>
    <mergeCell ref="T3:T4"/>
    <mergeCell ref="S5:S6"/>
    <mergeCell ref="T5:T6"/>
    <mergeCell ref="A14:T14"/>
    <mergeCell ref="A15:T15"/>
    <mergeCell ref="Q7:Q8"/>
    <mergeCell ref="R7:R8"/>
    <mergeCell ref="R9:R10"/>
    <mergeCell ref="A9:A10"/>
    <mergeCell ref="B9:B10"/>
    <mergeCell ref="C9:C10"/>
    <mergeCell ref="H9:H10"/>
    <mergeCell ref="Q9:Q10"/>
    <mergeCell ref="A7:A8"/>
    <mergeCell ref="B7:B8"/>
    <mergeCell ref="C7:C8"/>
    <mergeCell ref="Q1:R1"/>
    <mergeCell ref="A3:A4"/>
    <mergeCell ref="B3:B4"/>
    <mergeCell ref="C3:C4"/>
    <mergeCell ref="H3:H4"/>
    <mergeCell ref="Q3:Q4"/>
    <mergeCell ref="R3:R4"/>
    <mergeCell ref="A18:T18"/>
    <mergeCell ref="A17:T17"/>
    <mergeCell ref="A5:A6"/>
    <mergeCell ref="B5:B6"/>
    <mergeCell ref="C5:C6"/>
    <mergeCell ref="H5:H6"/>
    <mergeCell ref="H7:H8"/>
    <mergeCell ref="Q5:Q6"/>
    <mergeCell ref="S7:S8"/>
    <mergeCell ref="T7:T8"/>
    <mergeCell ref="S9:S10"/>
    <mergeCell ref="T9:T10"/>
    <mergeCell ref="R5:R6"/>
    <mergeCell ref="A11:P11"/>
    <mergeCell ref="A12:P12"/>
    <mergeCell ref="A13:P13"/>
  </mergeCells>
  <printOptions horizontalCentered="1" verticalCentered="1"/>
  <pageMargins left="0.25" right="0.25" top="0.75" bottom="0.75" header="0.3" footer="0.3"/>
  <pageSetup paperSize="9" firstPageNumber="0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8"/>
  <sheetViews>
    <sheetView showGridLines="0" workbookViewId="0">
      <pane ySplit="3" topLeftCell="A13" activePane="bottomLeft" state="frozen"/>
      <selection pane="bottomLeft" activeCell="L15" sqref="L15"/>
    </sheetView>
  </sheetViews>
  <sheetFormatPr defaultRowHeight="13.8"/>
  <cols>
    <col min="1" max="1" width="6.21875" style="81" customWidth="1"/>
    <col min="2" max="2" width="53.88671875" style="81" customWidth="1"/>
    <col min="3" max="3" width="8.88671875" style="726"/>
    <col min="4" max="7" width="8.88671875" style="81" customWidth="1"/>
    <col min="8" max="8" width="10" style="81" customWidth="1"/>
    <col min="9" max="9" width="8.88671875" style="81" customWidth="1"/>
    <col min="10" max="10" width="8.88671875" style="621"/>
    <col min="11" max="11" width="11" style="513" customWidth="1"/>
    <col min="12" max="12" width="13" style="513" customWidth="1"/>
    <col min="13" max="13" width="11.21875" style="514" hidden="1" customWidth="1"/>
    <col min="14" max="14" width="13.109375" style="514" hidden="1" customWidth="1"/>
    <col min="15" max="16384" width="8.88671875" style="81"/>
  </cols>
  <sheetData>
    <row r="1" spans="1:14" ht="25.8" customHeight="1">
      <c r="A1" s="1244" t="s">
        <v>585</v>
      </c>
      <c r="B1" s="1244"/>
      <c r="C1" s="1244"/>
      <c r="D1" s="1244"/>
      <c r="E1" s="1244"/>
      <c r="F1" s="1244"/>
      <c r="G1" s="1244"/>
      <c r="H1" s="1244"/>
      <c r="I1" s="1244"/>
      <c r="J1" s="1244"/>
      <c r="K1" s="1244"/>
      <c r="L1" s="1244"/>
      <c r="M1" s="1244"/>
      <c r="N1" s="1244"/>
    </row>
    <row r="2" spans="1:14" ht="19.2" customHeight="1">
      <c r="A2" s="1247" t="s">
        <v>0</v>
      </c>
      <c r="B2" s="1247" t="s">
        <v>1</v>
      </c>
      <c r="C2" s="1247" t="s">
        <v>100</v>
      </c>
      <c r="D2" s="1249" t="s">
        <v>586</v>
      </c>
      <c r="E2" s="1250"/>
      <c r="F2" s="1250"/>
      <c r="G2" s="1250"/>
      <c r="H2" s="1250"/>
      <c r="I2" s="1251"/>
      <c r="J2" s="1252" t="s">
        <v>104</v>
      </c>
      <c r="K2" s="1256" t="s">
        <v>573</v>
      </c>
      <c r="L2" s="1257"/>
      <c r="M2" s="1254"/>
      <c r="N2" s="1255"/>
    </row>
    <row r="3" spans="1:14" ht="36" customHeight="1">
      <c r="A3" s="1248"/>
      <c r="B3" s="1248"/>
      <c r="C3" s="1248"/>
      <c r="D3" s="590" t="s">
        <v>468</v>
      </c>
      <c r="E3" s="590" t="s">
        <v>545</v>
      </c>
      <c r="F3" s="590" t="s">
        <v>101</v>
      </c>
      <c r="G3" s="590" t="s">
        <v>102</v>
      </c>
      <c r="H3" s="590" t="s">
        <v>103</v>
      </c>
      <c r="I3" s="590" t="s">
        <v>469</v>
      </c>
      <c r="J3" s="1253"/>
      <c r="K3" s="518" t="s">
        <v>467</v>
      </c>
      <c r="L3" s="518" t="s">
        <v>104</v>
      </c>
      <c r="M3" s="522" t="s">
        <v>467</v>
      </c>
      <c r="N3" s="523" t="s">
        <v>104</v>
      </c>
    </row>
    <row r="4" spans="1:14" ht="36">
      <c r="A4" s="524">
        <v>1</v>
      </c>
      <c r="B4" s="525" t="s">
        <v>470</v>
      </c>
      <c r="C4" s="526" t="s">
        <v>471</v>
      </c>
      <c r="D4" s="602">
        <v>1200</v>
      </c>
      <c r="E4" s="603">
        <v>96</v>
      </c>
      <c r="F4" s="603">
        <v>120</v>
      </c>
      <c r="G4" s="603">
        <v>100</v>
      </c>
      <c r="H4" s="603">
        <v>60</v>
      </c>
      <c r="I4" s="603">
        <v>50</v>
      </c>
      <c r="J4" s="521">
        <f>SUM(D4:I4)</f>
        <v>1626</v>
      </c>
      <c r="K4" s="519">
        <v>3.24</v>
      </c>
      <c r="L4" s="519">
        <f t="shared" ref="L4:L48" si="0">J4*K4</f>
        <v>5268.2400000000007</v>
      </c>
      <c r="M4" s="541" t="e">
        <f>AVERAGE(#REF!,#REF!,#REF!)</f>
        <v>#REF!</v>
      </c>
      <c r="N4" s="511" t="e">
        <f t="shared" ref="N4:N32" si="1">J4*M4</f>
        <v>#REF!</v>
      </c>
    </row>
    <row r="5" spans="1:14" ht="24">
      <c r="A5" s="527">
        <v>2</v>
      </c>
      <c r="B5" s="528" t="s">
        <v>472</v>
      </c>
      <c r="C5" s="529" t="s">
        <v>106</v>
      </c>
      <c r="D5" s="604">
        <v>240</v>
      </c>
      <c r="E5" s="605">
        <v>0</v>
      </c>
      <c r="F5" s="605">
        <v>0</v>
      </c>
      <c r="G5" s="605">
        <v>0</v>
      </c>
      <c r="H5" s="605">
        <v>24</v>
      </c>
      <c r="I5" s="605">
        <v>50</v>
      </c>
      <c r="J5" s="530">
        <f>SUM(D5:I5)</f>
        <v>314</v>
      </c>
      <c r="K5" s="519">
        <v>7.7</v>
      </c>
      <c r="L5" s="519">
        <f t="shared" si="0"/>
        <v>2417.8000000000002</v>
      </c>
      <c r="M5" s="541" t="e">
        <f>AVERAGE(#REF!,#REF!,#REF!)</f>
        <v>#REF!</v>
      </c>
      <c r="N5" s="511" t="e">
        <f t="shared" si="1"/>
        <v>#REF!</v>
      </c>
    </row>
    <row r="6" spans="1:14" ht="24">
      <c r="A6" s="524">
        <v>3</v>
      </c>
      <c r="B6" s="525" t="s">
        <v>505</v>
      </c>
      <c r="C6" s="526" t="s">
        <v>471</v>
      </c>
      <c r="D6" s="602">
        <v>360</v>
      </c>
      <c r="E6" s="603">
        <v>36</v>
      </c>
      <c r="F6" s="603">
        <v>120</v>
      </c>
      <c r="G6" s="603">
        <v>40</v>
      </c>
      <c r="H6" s="603">
        <v>24</v>
      </c>
      <c r="I6" s="603">
        <v>50</v>
      </c>
      <c r="J6" s="521">
        <f t="shared" ref="J6:J48" si="2">SUM(D6:I6)</f>
        <v>630</v>
      </c>
      <c r="K6" s="519">
        <v>5.79</v>
      </c>
      <c r="L6" s="519">
        <f t="shared" si="0"/>
        <v>3647.7</v>
      </c>
      <c r="M6" s="541" t="e">
        <f>AVERAGE(#REF!,#REF!,#REF!)</f>
        <v>#REF!</v>
      </c>
      <c r="N6" s="511" t="e">
        <f t="shared" si="1"/>
        <v>#REF!</v>
      </c>
    </row>
    <row r="7" spans="1:14">
      <c r="A7" s="527">
        <v>4</v>
      </c>
      <c r="B7" s="532" t="s">
        <v>473</v>
      </c>
      <c r="C7" s="533" t="s">
        <v>106</v>
      </c>
      <c r="D7" s="606">
        <v>6</v>
      </c>
      <c r="E7" s="540">
        <v>0</v>
      </c>
      <c r="F7" s="540">
        <v>0</v>
      </c>
      <c r="G7" s="540">
        <v>0</v>
      </c>
      <c r="H7" s="540">
        <v>0</v>
      </c>
      <c r="I7" s="540">
        <v>0</v>
      </c>
      <c r="J7" s="530">
        <f t="shared" si="2"/>
        <v>6</v>
      </c>
      <c r="K7" s="519">
        <v>150</v>
      </c>
      <c r="L7" s="519">
        <f t="shared" si="0"/>
        <v>900</v>
      </c>
      <c r="M7" s="541" t="e">
        <f>AVERAGE(#REF!,#REF!,#REF!)</f>
        <v>#REF!</v>
      </c>
      <c r="N7" s="511" t="e">
        <f t="shared" si="1"/>
        <v>#REF!</v>
      </c>
    </row>
    <row r="8" spans="1:14" ht="36">
      <c r="A8" s="524">
        <v>5</v>
      </c>
      <c r="B8" s="536" t="s">
        <v>474</v>
      </c>
      <c r="C8" s="645" t="s">
        <v>106</v>
      </c>
      <c r="D8" s="538">
        <v>12</v>
      </c>
      <c r="E8" s="538">
        <v>2</v>
      </c>
      <c r="F8" s="538">
        <v>2</v>
      </c>
      <c r="G8" s="538">
        <v>3</v>
      </c>
      <c r="H8" s="538">
        <v>0</v>
      </c>
      <c r="I8" s="538">
        <v>2</v>
      </c>
      <c r="J8" s="521">
        <f t="shared" si="2"/>
        <v>21</v>
      </c>
      <c r="K8" s="519">
        <v>6.44</v>
      </c>
      <c r="L8" s="519">
        <f t="shared" si="0"/>
        <v>135.24</v>
      </c>
      <c r="M8" s="541" t="e">
        <f>AVERAGE(#REF!,#REF!,#REF!)</f>
        <v>#REF!</v>
      </c>
      <c r="N8" s="511" t="e">
        <f t="shared" si="1"/>
        <v>#REF!</v>
      </c>
    </row>
    <row r="9" spans="1:14" ht="36">
      <c r="A9" s="527">
        <v>6</v>
      </c>
      <c r="B9" s="537" t="s">
        <v>475</v>
      </c>
      <c r="C9" s="533" t="s">
        <v>106</v>
      </c>
      <c r="D9" s="540">
        <v>4</v>
      </c>
      <c r="E9" s="540">
        <v>0</v>
      </c>
      <c r="F9" s="540">
        <v>2</v>
      </c>
      <c r="G9" s="540">
        <v>2</v>
      </c>
      <c r="H9" s="540">
        <v>2</v>
      </c>
      <c r="I9" s="540">
        <v>0</v>
      </c>
      <c r="J9" s="530">
        <f t="shared" si="2"/>
        <v>10</v>
      </c>
      <c r="K9" s="519">
        <v>18</v>
      </c>
      <c r="L9" s="519">
        <f t="shared" si="0"/>
        <v>180</v>
      </c>
      <c r="M9" s="541">
        <v>12</v>
      </c>
      <c r="N9" s="511">
        <f t="shared" si="1"/>
        <v>120</v>
      </c>
    </row>
    <row r="10" spans="1:14">
      <c r="A10" s="524">
        <v>7</v>
      </c>
      <c r="B10" s="525" t="s">
        <v>506</v>
      </c>
      <c r="C10" s="526" t="s">
        <v>471</v>
      </c>
      <c r="D10" s="602">
        <v>0</v>
      </c>
      <c r="E10" s="603">
        <v>72</v>
      </c>
      <c r="F10" s="603">
        <v>0</v>
      </c>
      <c r="G10" s="603">
        <v>0</v>
      </c>
      <c r="H10" s="603">
        <v>0</v>
      </c>
      <c r="I10" s="603">
        <v>60</v>
      </c>
      <c r="J10" s="521">
        <f t="shared" si="2"/>
        <v>132</v>
      </c>
      <c r="K10" s="519">
        <v>4.43</v>
      </c>
      <c r="L10" s="519">
        <f t="shared" si="0"/>
        <v>584.76</v>
      </c>
      <c r="M10" s="541" t="e">
        <f>AVERAGE(#REF!,#REF!,#REF!)</f>
        <v>#REF!</v>
      </c>
      <c r="N10" s="511" t="e">
        <f t="shared" si="1"/>
        <v>#REF!</v>
      </c>
    </row>
    <row r="11" spans="1:14">
      <c r="A11" s="527">
        <v>8</v>
      </c>
      <c r="B11" s="537" t="s">
        <v>476</v>
      </c>
      <c r="C11" s="533" t="s">
        <v>106</v>
      </c>
      <c r="D11" s="540">
        <v>3</v>
      </c>
      <c r="E11" s="540">
        <v>1</v>
      </c>
      <c r="F11" s="540">
        <v>1</v>
      </c>
      <c r="G11" s="540">
        <v>2</v>
      </c>
      <c r="H11" s="540">
        <v>1</v>
      </c>
      <c r="I11" s="540">
        <v>2</v>
      </c>
      <c r="J11" s="530">
        <f t="shared" si="2"/>
        <v>10</v>
      </c>
      <c r="K11" s="519">
        <v>7</v>
      </c>
      <c r="L11" s="519">
        <f t="shared" si="0"/>
        <v>70</v>
      </c>
      <c r="M11" s="541" t="e">
        <f>AVERAGE(#REF!,#REF!)</f>
        <v>#REF!</v>
      </c>
      <c r="N11" s="511" t="e">
        <f t="shared" si="1"/>
        <v>#REF!</v>
      </c>
    </row>
    <row r="12" spans="1:14">
      <c r="A12" s="524">
        <v>9</v>
      </c>
      <c r="B12" s="525" t="s">
        <v>477</v>
      </c>
      <c r="C12" s="526" t="s">
        <v>106</v>
      </c>
      <c r="D12" s="603">
        <v>3</v>
      </c>
      <c r="E12" s="603">
        <v>1</v>
      </c>
      <c r="F12" s="603">
        <v>1</v>
      </c>
      <c r="G12" s="603">
        <v>1</v>
      </c>
      <c r="H12" s="603">
        <v>1</v>
      </c>
      <c r="I12" s="603">
        <v>2</v>
      </c>
      <c r="J12" s="521">
        <f t="shared" si="2"/>
        <v>9</v>
      </c>
      <c r="K12" s="519">
        <v>11</v>
      </c>
      <c r="L12" s="519">
        <f t="shared" si="0"/>
        <v>99</v>
      </c>
      <c r="M12" s="541" t="e">
        <f>AVERAGE(#REF!,#REF!,#REF!)</f>
        <v>#REF!</v>
      </c>
      <c r="N12" s="511" t="e">
        <f t="shared" si="1"/>
        <v>#REF!</v>
      </c>
    </row>
    <row r="13" spans="1:14" ht="24">
      <c r="A13" s="527">
        <v>10</v>
      </c>
      <c r="B13" s="537" t="s">
        <v>507</v>
      </c>
      <c r="C13" s="533" t="s">
        <v>478</v>
      </c>
      <c r="D13" s="606">
        <v>48</v>
      </c>
      <c r="E13" s="540">
        <v>0</v>
      </c>
      <c r="F13" s="540">
        <v>60</v>
      </c>
      <c r="G13" s="540">
        <v>0</v>
      </c>
      <c r="H13" s="540">
        <v>24</v>
      </c>
      <c r="I13" s="540">
        <v>0</v>
      </c>
      <c r="J13" s="530">
        <f t="shared" si="2"/>
        <v>132</v>
      </c>
      <c r="K13" s="519">
        <v>21.03</v>
      </c>
      <c r="L13" s="519">
        <f t="shared" si="0"/>
        <v>2775.96</v>
      </c>
      <c r="M13" s="541" t="e">
        <f>AVERAGE(#REF!,#REF!,#REF!)</f>
        <v>#REF!</v>
      </c>
      <c r="N13" s="511" t="e">
        <f t="shared" si="1"/>
        <v>#REF!</v>
      </c>
    </row>
    <row r="14" spans="1:14">
      <c r="A14" s="524">
        <v>11</v>
      </c>
      <c r="B14" s="536" t="s">
        <v>508</v>
      </c>
      <c r="C14" s="645" t="s">
        <v>471</v>
      </c>
      <c r="D14" s="607">
        <v>462</v>
      </c>
      <c r="E14" s="538">
        <v>162</v>
      </c>
      <c r="F14" s="538">
        <v>0</v>
      </c>
      <c r="G14" s="538">
        <v>245</v>
      </c>
      <c r="H14" s="538">
        <v>60</v>
      </c>
      <c r="I14" s="538">
        <v>100</v>
      </c>
      <c r="J14" s="521">
        <f t="shared" si="2"/>
        <v>1029</v>
      </c>
      <c r="K14" s="519">
        <v>5</v>
      </c>
      <c r="L14" s="519">
        <f t="shared" si="0"/>
        <v>5145</v>
      </c>
      <c r="M14" s="541" t="e">
        <f>AVERAGE(#REF!,#REF!,#REF!)</f>
        <v>#REF!</v>
      </c>
      <c r="N14" s="511" t="e">
        <f t="shared" si="1"/>
        <v>#REF!</v>
      </c>
    </row>
    <row r="15" spans="1:14" ht="48">
      <c r="A15" s="527">
        <v>12</v>
      </c>
      <c r="B15" s="537" t="s">
        <v>509</v>
      </c>
      <c r="C15" s="533" t="s">
        <v>479</v>
      </c>
      <c r="D15" s="606">
        <v>144</v>
      </c>
      <c r="E15" s="540">
        <v>24</v>
      </c>
      <c r="F15" s="540">
        <v>60</v>
      </c>
      <c r="G15" s="540">
        <v>40</v>
      </c>
      <c r="H15" s="540">
        <v>12</v>
      </c>
      <c r="I15" s="540">
        <v>50</v>
      </c>
      <c r="J15" s="530">
        <f t="shared" si="2"/>
        <v>330</v>
      </c>
      <c r="K15" s="519">
        <v>10.1</v>
      </c>
      <c r="L15" s="519">
        <f t="shared" si="0"/>
        <v>3333</v>
      </c>
      <c r="M15" s="541" t="e">
        <f>AVERAGE(#REF!,#REF!,#REF!)</f>
        <v>#REF!</v>
      </c>
      <c r="N15" s="511" t="e">
        <f t="shared" si="1"/>
        <v>#REF!</v>
      </c>
    </row>
    <row r="16" spans="1:14" ht="24">
      <c r="A16" s="524">
        <v>13</v>
      </c>
      <c r="B16" s="536" t="s">
        <v>510</v>
      </c>
      <c r="C16" s="645" t="s">
        <v>479</v>
      </c>
      <c r="D16" s="607">
        <v>150</v>
      </c>
      <c r="E16" s="538">
        <v>102</v>
      </c>
      <c r="F16" s="538">
        <v>102</v>
      </c>
      <c r="G16" s="538">
        <v>102</v>
      </c>
      <c r="H16" s="538">
        <v>24</v>
      </c>
      <c r="I16" s="538">
        <v>80</v>
      </c>
      <c r="J16" s="521">
        <f t="shared" si="2"/>
        <v>560</v>
      </c>
      <c r="K16" s="519">
        <v>2.1800000000000002</v>
      </c>
      <c r="L16" s="519">
        <f t="shared" si="0"/>
        <v>1220.8000000000002</v>
      </c>
      <c r="M16" s="543" t="e">
        <f>AVERAGE(#REF!,#REF!)</f>
        <v>#REF!</v>
      </c>
      <c r="N16" s="511" t="e">
        <f t="shared" si="1"/>
        <v>#REF!</v>
      </c>
    </row>
    <row r="17" spans="1:14">
      <c r="A17" s="527">
        <v>14</v>
      </c>
      <c r="B17" s="537" t="s">
        <v>480</v>
      </c>
      <c r="C17" s="533" t="s">
        <v>106</v>
      </c>
      <c r="D17" s="606">
        <v>8</v>
      </c>
      <c r="E17" s="540">
        <v>2</v>
      </c>
      <c r="F17" s="540">
        <v>8</v>
      </c>
      <c r="G17" s="540">
        <v>1</v>
      </c>
      <c r="H17" s="540">
        <v>1</v>
      </c>
      <c r="I17" s="540">
        <v>3</v>
      </c>
      <c r="J17" s="530">
        <f t="shared" si="2"/>
        <v>23</v>
      </c>
      <c r="K17" s="519">
        <v>3.66</v>
      </c>
      <c r="L17" s="519">
        <f t="shared" si="0"/>
        <v>84.18</v>
      </c>
      <c r="M17" s="541" t="e">
        <f>AVERAGE(#REF!,#REF!,#REF!)</f>
        <v>#REF!</v>
      </c>
      <c r="N17" s="511" t="e">
        <f t="shared" si="1"/>
        <v>#REF!</v>
      </c>
    </row>
    <row r="18" spans="1:14" ht="24">
      <c r="A18" s="524">
        <v>15</v>
      </c>
      <c r="B18" s="536" t="s">
        <v>511</v>
      </c>
      <c r="C18" s="645" t="s">
        <v>106</v>
      </c>
      <c r="D18" s="607">
        <v>37</v>
      </c>
      <c r="E18" s="538">
        <v>12</v>
      </c>
      <c r="F18" s="538">
        <v>10</v>
      </c>
      <c r="G18" s="538">
        <v>10</v>
      </c>
      <c r="H18" s="538">
        <v>2</v>
      </c>
      <c r="I18" s="538">
        <v>7</v>
      </c>
      <c r="J18" s="521">
        <f t="shared" si="2"/>
        <v>78</v>
      </c>
      <c r="K18" s="519">
        <v>5.45</v>
      </c>
      <c r="L18" s="519">
        <f t="shared" si="0"/>
        <v>425.1</v>
      </c>
      <c r="M18" s="541" t="e">
        <f>AVERAGE(#REF!,#REF!,#REF!)</f>
        <v>#REF!</v>
      </c>
      <c r="N18" s="511" t="e">
        <f t="shared" si="1"/>
        <v>#REF!</v>
      </c>
    </row>
    <row r="19" spans="1:14" ht="24">
      <c r="A19" s="527">
        <v>16</v>
      </c>
      <c r="B19" s="537" t="s">
        <v>512</v>
      </c>
      <c r="C19" s="533" t="s">
        <v>106</v>
      </c>
      <c r="D19" s="540">
        <v>6</v>
      </c>
      <c r="E19" s="540">
        <v>1</v>
      </c>
      <c r="F19" s="540">
        <v>3</v>
      </c>
      <c r="G19" s="540">
        <v>2</v>
      </c>
      <c r="H19" s="540">
        <v>1</v>
      </c>
      <c r="I19" s="540">
        <v>3</v>
      </c>
      <c r="J19" s="530">
        <f t="shared" si="2"/>
        <v>16</v>
      </c>
      <c r="K19" s="519">
        <v>22.56</v>
      </c>
      <c r="L19" s="519">
        <f t="shared" si="0"/>
        <v>360.96</v>
      </c>
      <c r="M19" s="541">
        <v>3.5</v>
      </c>
      <c r="N19" s="511">
        <f t="shared" si="1"/>
        <v>56</v>
      </c>
    </row>
    <row r="20" spans="1:14" ht="36">
      <c r="A20" s="524">
        <v>17</v>
      </c>
      <c r="B20" s="536" t="s">
        <v>513</v>
      </c>
      <c r="C20" s="645" t="s">
        <v>481</v>
      </c>
      <c r="D20" s="538">
        <v>156</v>
      </c>
      <c r="E20" s="538">
        <v>12</v>
      </c>
      <c r="F20" s="538">
        <v>60</v>
      </c>
      <c r="G20" s="538">
        <v>24</v>
      </c>
      <c r="H20" s="538">
        <v>24</v>
      </c>
      <c r="I20" s="538">
        <v>18</v>
      </c>
      <c r="J20" s="521">
        <f t="shared" si="2"/>
        <v>294</v>
      </c>
      <c r="K20" s="519">
        <v>2.36</v>
      </c>
      <c r="L20" s="519">
        <f t="shared" si="0"/>
        <v>693.83999999999992</v>
      </c>
      <c r="M20" s="541" t="e">
        <f>AVERAGE(#REF!,#REF!,#REF!)</f>
        <v>#REF!</v>
      </c>
      <c r="N20" s="511" t="e">
        <f t="shared" si="1"/>
        <v>#REF!</v>
      </c>
    </row>
    <row r="21" spans="1:14" ht="48">
      <c r="A21" s="527">
        <v>18</v>
      </c>
      <c r="B21" s="537" t="s">
        <v>514</v>
      </c>
      <c r="C21" s="533" t="s">
        <v>106</v>
      </c>
      <c r="D21" s="540">
        <v>312</v>
      </c>
      <c r="E21" s="540">
        <v>96</v>
      </c>
      <c r="F21" s="540">
        <v>120</v>
      </c>
      <c r="G21" s="540">
        <v>84</v>
      </c>
      <c r="H21" s="540">
        <v>60</v>
      </c>
      <c r="I21" s="540">
        <v>75</v>
      </c>
      <c r="J21" s="530">
        <f t="shared" si="2"/>
        <v>747</v>
      </c>
      <c r="K21" s="519">
        <v>0.98</v>
      </c>
      <c r="L21" s="519">
        <f t="shared" si="0"/>
        <v>732.06</v>
      </c>
      <c r="M21" s="541" t="e">
        <f>AVERAGE(#REF!,#REF!,#REF!)</f>
        <v>#REF!</v>
      </c>
      <c r="N21" s="511" t="e">
        <f t="shared" si="1"/>
        <v>#REF!</v>
      </c>
    </row>
    <row r="22" spans="1:14">
      <c r="A22" s="524">
        <v>19</v>
      </c>
      <c r="B22" s="536" t="s">
        <v>515</v>
      </c>
      <c r="C22" s="645" t="s">
        <v>106</v>
      </c>
      <c r="D22" s="538">
        <v>216</v>
      </c>
      <c r="E22" s="538">
        <v>36</v>
      </c>
      <c r="F22" s="538">
        <v>120</v>
      </c>
      <c r="G22" s="538">
        <v>48</v>
      </c>
      <c r="H22" s="538">
        <v>24</v>
      </c>
      <c r="I22" s="538">
        <v>42</v>
      </c>
      <c r="J22" s="521">
        <f t="shared" si="2"/>
        <v>486</v>
      </c>
      <c r="K22" s="519">
        <v>2.5099999999999998</v>
      </c>
      <c r="L22" s="519">
        <f t="shared" si="0"/>
        <v>1219.8599999999999</v>
      </c>
      <c r="M22" s="541" t="e">
        <f>AVERAGE(#REF!,#REF!,#REF!)</f>
        <v>#REF!</v>
      </c>
      <c r="N22" s="511" t="e">
        <f t="shared" si="1"/>
        <v>#REF!</v>
      </c>
    </row>
    <row r="23" spans="1:14" ht="36">
      <c r="A23" s="527">
        <v>20</v>
      </c>
      <c r="B23" s="537" t="s">
        <v>516</v>
      </c>
      <c r="C23" s="533" t="s">
        <v>106</v>
      </c>
      <c r="D23" s="606">
        <v>40</v>
      </c>
      <c r="E23" s="540">
        <v>12</v>
      </c>
      <c r="F23" s="540">
        <v>20</v>
      </c>
      <c r="G23" s="540">
        <v>0</v>
      </c>
      <c r="H23" s="540">
        <v>12</v>
      </c>
      <c r="I23" s="540">
        <v>120</v>
      </c>
      <c r="J23" s="530">
        <f t="shared" si="2"/>
        <v>204</v>
      </c>
      <c r="K23" s="519">
        <v>12.77</v>
      </c>
      <c r="L23" s="519">
        <f t="shared" si="0"/>
        <v>2605.08</v>
      </c>
      <c r="M23" s="541" t="e">
        <f>AVERAGE(#REF!,#REF!)</f>
        <v>#REF!</v>
      </c>
      <c r="N23" s="511" t="e">
        <f t="shared" si="1"/>
        <v>#REF!</v>
      </c>
    </row>
    <row r="24" spans="1:14" ht="24">
      <c r="A24" s="524">
        <v>21</v>
      </c>
      <c r="B24" s="536" t="s">
        <v>517</v>
      </c>
      <c r="C24" s="645" t="s">
        <v>479</v>
      </c>
      <c r="D24" s="607">
        <v>0</v>
      </c>
      <c r="E24" s="538">
        <v>0</v>
      </c>
      <c r="F24" s="538">
        <v>0</v>
      </c>
      <c r="G24" s="538">
        <v>6</v>
      </c>
      <c r="H24" s="538">
        <v>0</v>
      </c>
      <c r="I24" s="538">
        <v>0</v>
      </c>
      <c r="J24" s="521">
        <f t="shared" si="2"/>
        <v>6</v>
      </c>
      <c r="K24" s="519">
        <v>4.3</v>
      </c>
      <c r="L24" s="519">
        <f t="shared" si="0"/>
        <v>25.799999999999997</v>
      </c>
      <c r="M24" s="541" t="e">
        <f>AVERAGE(#REF!,#REF!)</f>
        <v>#REF!</v>
      </c>
      <c r="N24" s="511" t="e">
        <f t="shared" si="1"/>
        <v>#REF!</v>
      </c>
    </row>
    <row r="25" spans="1:14">
      <c r="A25" s="527">
        <v>22</v>
      </c>
      <c r="B25" s="537" t="s">
        <v>518</v>
      </c>
      <c r="C25" s="533" t="s">
        <v>106</v>
      </c>
      <c r="D25" s="606">
        <v>60</v>
      </c>
      <c r="E25" s="540">
        <v>0</v>
      </c>
      <c r="F25" s="540">
        <v>0</v>
      </c>
      <c r="G25" s="540">
        <v>0</v>
      </c>
      <c r="H25" s="540">
        <v>4</v>
      </c>
      <c r="I25" s="540">
        <v>7</v>
      </c>
      <c r="J25" s="530">
        <f t="shared" si="2"/>
        <v>71</v>
      </c>
      <c r="K25" s="519">
        <v>5.99</v>
      </c>
      <c r="L25" s="519">
        <f t="shared" si="0"/>
        <v>425.29</v>
      </c>
      <c r="M25" s="541" t="e">
        <f>AVERAGE(#REF!,#REF!,#REF!)</f>
        <v>#REF!</v>
      </c>
      <c r="N25" s="511" t="e">
        <f t="shared" si="1"/>
        <v>#REF!</v>
      </c>
    </row>
    <row r="26" spans="1:14">
      <c r="A26" s="524">
        <v>23</v>
      </c>
      <c r="B26" s="536" t="s">
        <v>519</v>
      </c>
      <c r="C26" s="645" t="s">
        <v>478</v>
      </c>
      <c r="D26" s="607">
        <v>30</v>
      </c>
      <c r="E26" s="538">
        <v>0</v>
      </c>
      <c r="F26" s="538">
        <v>0</v>
      </c>
      <c r="G26" s="538">
        <v>0</v>
      </c>
      <c r="H26" s="538">
        <v>0</v>
      </c>
      <c r="I26" s="538">
        <v>0</v>
      </c>
      <c r="J26" s="521">
        <f t="shared" si="2"/>
        <v>30</v>
      </c>
      <c r="K26" s="519">
        <v>20.62</v>
      </c>
      <c r="L26" s="519">
        <f t="shared" si="0"/>
        <v>618.6</v>
      </c>
      <c r="M26" s="541" t="e">
        <f>AVERAGE(#REF!,#REF!)</f>
        <v>#REF!</v>
      </c>
      <c r="N26" s="511" t="e">
        <f t="shared" si="1"/>
        <v>#REF!</v>
      </c>
    </row>
    <row r="27" spans="1:14" ht="36">
      <c r="A27" s="527">
        <v>24</v>
      </c>
      <c r="B27" s="537" t="s">
        <v>520</v>
      </c>
      <c r="C27" s="533" t="s">
        <v>479</v>
      </c>
      <c r="D27" s="606">
        <v>0</v>
      </c>
      <c r="E27" s="540">
        <v>12</v>
      </c>
      <c r="F27" s="540">
        <v>0</v>
      </c>
      <c r="G27" s="540">
        <v>12</v>
      </c>
      <c r="H27" s="540">
        <v>0</v>
      </c>
      <c r="I27" s="540">
        <v>36</v>
      </c>
      <c r="J27" s="530">
        <f t="shared" si="2"/>
        <v>60</v>
      </c>
      <c r="K27" s="519">
        <v>4.96</v>
      </c>
      <c r="L27" s="519">
        <f t="shared" si="0"/>
        <v>297.60000000000002</v>
      </c>
      <c r="M27" s="541" t="e">
        <f>AVERAGE(#REF!,#REF!,#REF!)</f>
        <v>#REF!</v>
      </c>
      <c r="N27" s="511" t="e">
        <f t="shared" si="1"/>
        <v>#REF!</v>
      </c>
    </row>
    <row r="28" spans="1:14" ht="24">
      <c r="A28" s="524">
        <v>25</v>
      </c>
      <c r="B28" s="536" t="s">
        <v>521</v>
      </c>
      <c r="C28" s="645" t="s">
        <v>482</v>
      </c>
      <c r="D28" s="607">
        <v>360</v>
      </c>
      <c r="E28" s="538">
        <v>36</v>
      </c>
      <c r="F28" s="538">
        <v>36</v>
      </c>
      <c r="G28" s="538">
        <v>50</v>
      </c>
      <c r="H28" s="538">
        <v>12</v>
      </c>
      <c r="I28" s="538">
        <v>40</v>
      </c>
      <c r="J28" s="521">
        <f t="shared" si="2"/>
        <v>534</v>
      </c>
      <c r="K28" s="519">
        <v>6.03</v>
      </c>
      <c r="L28" s="519">
        <f t="shared" si="0"/>
        <v>3220.02</v>
      </c>
      <c r="M28" s="541" t="e">
        <f>AVERAGE(#REF!,#REF!)</f>
        <v>#REF!</v>
      </c>
      <c r="N28" s="511" t="e">
        <f t="shared" si="1"/>
        <v>#REF!</v>
      </c>
    </row>
    <row r="29" spans="1:14">
      <c r="A29" s="527">
        <v>26</v>
      </c>
      <c r="B29" s="537" t="s">
        <v>522</v>
      </c>
      <c r="C29" s="533" t="s">
        <v>106</v>
      </c>
      <c r="D29" s="606">
        <v>4</v>
      </c>
      <c r="E29" s="540">
        <v>2</v>
      </c>
      <c r="F29" s="540">
        <v>2</v>
      </c>
      <c r="G29" s="540">
        <v>1</v>
      </c>
      <c r="H29" s="540">
        <v>1</v>
      </c>
      <c r="I29" s="540">
        <v>2</v>
      </c>
      <c r="J29" s="530">
        <f t="shared" si="2"/>
        <v>12</v>
      </c>
      <c r="K29" s="519">
        <v>16.2</v>
      </c>
      <c r="L29" s="519">
        <f t="shared" si="0"/>
        <v>194.39999999999998</v>
      </c>
      <c r="M29" s="541" t="e">
        <f>AVERAGE(#REF!,#REF!)</f>
        <v>#REF!</v>
      </c>
      <c r="N29" s="511" t="e">
        <f t="shared" si="1"/>
        <v>#REF!</v>
      </c>
    </row>
    <row r="30" spans="1:14" ht="24">
      <c r="A30" s="524">
        <v>27</v>
      </c>
      <c r="B30" s="536" t="s">
        <v>523</v>
      </c>
      <c r="C30" s="645" t="s">
        <v>106</v>
      </c>
      <c r="D30" s="607">
        <v>6</v>
      </c>
      <c r="E30" s="538">
        <v>1</v>
      </c>
      <c r="F30" s="538">
        <v>2</v>
      </c>
      <c r="G30" s="538">
        <v>2</v>
      </c>
      <c r="H30" s="538">
        <v>1</v>
      </c>
      <c r="I30" s="538">
        <v>3</v>
      </c>
      <c r="J30" s="521">
        <f t="shared" si="2"/>
        <v>15</v>
      </c>
      <c r="K30" s="519">
        <v>35.380000000000003</v>
      </c>
      <c r="L30" s="519">
        <f t="shared" si="0"/>
        <v>530.70000000000005</v>
      </c>
      <c r="M30" s="541" t="e">
        <f>AVERAGE(#REF!,#REF!)</f>
        <v>#REF!</v>
      </c>
      <c r="N30" s="511" t="e">
        <f t="shared" si="1"/>
        <v>#REF!</v>
      </c>
    </row>
    <row r="31" spans="1:14">
      <c r="A31" s="527">
        <v>28</v>
      </c>
      <c r="B31" s="537" t="s">
        <v>524</v>
      </c>
      <c r="C31" s="533" t="s">
        <v>106</v>
      </c>
      <c r="D31" s="606">
        <v>264</v>
      </c>
      <c r="E31" s="540">
        <v>48</v>
      </c>
      <c r="F31" s="540">
        <v>72</v>
      </c>
      <c r="G31" s="540">
        <v>72</v>
      </c>
      <c r="H31" s="540">
        <v>24</v>
      </c>
      <c r="I31" s="540">
        <v>72</v>
      </c>
      <c r="J31" s="530">
        <f t="shared" si="2"/>
        <v>552</v>
      </c>
      <c r="K31" s="519">
        <v>4.75</v>
      </c>
      <c r="L31" s="519">
        <f t="shared" si="0"/>
        <v>2622</v>
      </c>
      <c r="M31" s="541" t="e">
        <f>AVERAGE(#REF!,#REF!,#REF!)</f>
        <v>#REF!</v>
      </c>
      <c r="N31" s="511" t="e">
        <f t="shared" si="1"/>
        <v>#REF!</v>
      </c>
    </row>
    <row r="32" spans="1:14">
      <c r="A32" s="524">
        <v>29</v>
      </c>
      <c r="B32" s="539" t="s">
        <v>525</v>
      </c>
      <c r="C32" s="645" t="s">
        <v>106</v>
      </c>
      <c r="D32" s="607">
        <v>0</v>
      </c>
      <c r="E32" s="538">
        <v>5</v>
      </c>
      <c r="F32" s="538">
        <v>0</v>
      </c>
      <c r="G32" s="538">
        <v>6</v>
      </c>
      <c r="H32" s="538">
        <v>0</v>
      </c>
      <c r="I32" s="538">
        <v>20</v>
      </c>
      <c r="J32" s="521">
        <f t="shared" si="2"/>
        <v>31</v>
      </c>
      <c r="K32" s="519">
        <v>4.9000000000000004</v>
      </c>
      <c r="L32" s="519">
        <f t="shared" si="0"/>
        <v>151.9</v>
      </c>
      <c r="M32" s="541" t="e">
        <f>AVERAGE(#REF!,#REF!)</f>
        <v>#REF!</v>
      </c>
      <c r="N32" s="511" t="e">
        <f t="shared" si="1"/>
        <v>#REF!</v>
      </c>
    </row>
    <row r="33" spans="1:14" ht="60">
      <c r="A33" s="527">
        <v>30</v>
      </c>
      <c r="B33" s="537" t="s">
        <v>526</v>
      </c>
      <c r="C33" s="533" t="s">
        <v>481</v>
      </c>
      <c r="D33" s="540">
        <v>360</v>
      </c>
      <c r="E33" s="540">
        <v>80</v>
      </c>
      <c r="F33" s="540">
        <v>120</v>
      </c>
      <c r="G33" s="540">
        <v>120</v>
      </c>
      <c r="H33" s="540">
        <v>12</v>
      </c>
      <c r="I33" s="540">
        <v>120</v>
      </c>
      <c r="J33" s="631">
        <f t="shared" si="2"/>
        <v>812</v>
      </c>
      <c r="K33" s="519">
        <v>13.98</v>
      </c>
      <c r="L33" s="519">
        <f t="shared" si="0"/>
        <v>11351.76</v>
      </c>
      <c r="M33" s="541" t="e">
        <f>AVERAGE(#REF!,#REF!,#REF!)</f>
        <v>#REF!</v>
      </c>
      <c r="N33" s="544">
        <v>8594.4599999999991</v>
      </c>
    </row>
    <row r="34" spans="1:14">
      <c r="A34" s="524">
        <v>31</v>
      </c>
      <c r="B34" s="536" t="s">
        <v>527</v>
      </c>
      <c r="C34" s="645" t="s">
        <v>471</v>
      </c>
      <c r="D34" s="538">
        <v>130</v>
      </c>
      <c r="E34" s="538">
        <v>5</v>
      </c>
      <c r="F34" s="538">
        <v>0</v>
      </c>
      <c r="G34" s="538">
        <v>0</v>
      </c>
      <c r="H34" s="538">
        <v>0</v>
      </c>
      <c r="I34" s="538">
        <v>0</v>
      </c>
      <c r="J34" s="521">
        <f t="shared" si="2"/>
        <v>135</v>
      </c>
      <c r="K34" s="519">
        <v>8.27</v>
      </c>
      <c r="L34" s="519">
        <f t="shared" si="0"/>
        <v>1116.45</v>
      </c>
      <c r="M34" s="541" t="e">
        <f>AVERAGE(#REF!,#REF!)</f>
        <v>#REF!</v>
      </c>
      <c r="N34" s="511" t="e">
        <f t="shared" ref="N34:N48" si="3">J34*M34</f>
        <v>#REF!</v>
      </c>
    </row>
    <row r="35" spans="1:14">
      <c r="A35" s="527">
        <v>32</v>
      </c>
      <c r="B35" s="537" t="s">
        <v>528</v>
      </c>
      <c r="C35" s="533" t="s">
        <v>106</v>
      </c>
      <c r="D35" s="606">
        <v>0</v>
      </c>
      <c r="E35" s="540"/>
      <c r="F35" s="540">
        <v>0</v>
      </c>
      <c r="G35" s="540">
        <v>0</v>
      </c>
      <c r="H35" s="540">
        <v>0</v>
      </c>
      <c r="I35" s="540">
        <v>36</v>
      </c>
      <c r="J35" s="530">
        <f t="shared" si="2"/>
        <v>36</v>
      </c>
      <c r="K35" s="519">
        <v>30.73</v>
      </c>
      <c r="L35" s="519">
        <f t="shared" si="0"/>
        <v>1106.28</v>
      </c>
      <c r="M35" s="541" t="e">
        <f>AVERAGE(#REF!,#REF!)</f>
        <v>#REF!</v>
      </c>
      <c r="N35" s="511" t="e">
        <f t="shared" si="3"/>
        <v>#REF!</v>
      </c>
    </row>
    <row r="36" spans="1:14" ht="24">
      <c r="A36" s="524">
        <v>33</v>
      </c>
      <c r="B36" s="536" t="s">
        <v>529</v>
      </c>
      <c r="C36" s="645" t="s">
        <v>106</v>
      </c>
      <c r="D36" s="607">
        <v>20</v>
      </c>
      <c r="E36" s="538">
        <v>4</v>
      </c>
      <c r="F36" s="538">
        <v>4</v>
      </c>
      <c r="G36" s="538">
        <v>4</v>
      </c>
      <c r="H36" s="538">
        <v>3</v>
      </c>
      <c r="I36" s="538">
        <v>7</v>
      </c>
      <c r="J36" s="521">
        <f t="shared" si="2"/>
        <v>42</v>
      </c>
      <c r="K36" s="519">
        <v>13.15</v>
      </c>
      <c r="L36" s="519">
        <f t="shared" si="0"/>
        <v>552.30000000000007</v>
      </c>
      <c r="M36" s="541" t="e">
        <f>AVERAGE(#REF!,#REF!,#REF!)</f>
        <v>#REF!</v>
      </c>
      <c r="N36" s="511" t="e">
        <f t="shared" si="3"/>
        <v>#REF!</v>
      </c>
    </row>
    <row r="37" spans="1:14" ht="24">
      <c r="A37" s="527">
        <v>34</v>
      </c>
      <c r="B37" s="537" t="s">
        <v>530</v>
      </c>
      <c r="C37" s="533" t="s">
        <v>481</v>
      </c>
      <c r="D37" s="606">
        <v>12</v>
      </c>
      <c r="E37" s="540">
        <v>6</v>
      </c>
      <c r="F37" s="540">
        <v>12</v>
      </c>
      <c r="G37" s="540">
        <v>12</v>
      </c>
      <c r="H37" s="540">
        <v>6</v>
      </c>
      <c r="I37" s="540">
        <v>25</v>
      </c>
      <c r="J37" s="530">
        <f t="shared" si="2"/>
        <v>73</v>
      </c>
      <c r="K37" s="519">
        <v>7.9</v>
      </c>
      <c r="L37" s="519">
        <f t="shared" si="0"/>
        <v>576.70000000000005</v>
      </c>
      <c r="M37" s="541" t="e">
        <f>AVERAGE(#REF!,#REF!,#REF!)</f>
        <v>#REF!</v>
      </c>
      <c r="N37" s="511" t="e">
        <f t="shared" si="3"/>
        <v>#REF!</v>
      </c>
    </row>
    <row r="38" spans="1:14" ht="36">
      <c r="A38" s="524">
        <v>35</v>
      </c>
      <c r="B38" s="536" t="s">
        <v>483</v>
      </c>
      <c r="C38" s="645" t="s">
        <v>106</v>
      </c>
      <c r="D38" s="607">
        <v>312</v>
      </c>
      <c r="E38" s="538">
        <v>24</v>
      </c>
      <c r="F38" s="538">
        <v>60</v>
      </c>
      <c r="G38" s="538">
        <v>36</v>
      </c>
      <c r="H38" s="538">
        <v>24</v>
      </c>
      <c r="I38" s="538">
        <v>50</v>
      </c>
      <c r="J38" s="521">
        <f t="shared" si="2"/>
        <v>506</v>
      </c>
      <c r="K38" s="519">
        <v>4.6500000000000004</v>
      </c>
      <c r="L38" s="519">
        <f t="shared" si="0"/>
        <v>2352.9</v>
      </c>
      <c r="M38" s="541" t="e">
        <f>AVERAGE(#REF!,#REF!,#REF!)</f>
        <v>#REF!</v>
      </c>
      <c r="N38" s="511" t="e">
        <f t="shared" si="3"/>
        <v>#REF!</v>
      </c>
    </row>
    <row r="39" spans="1:14" ht="24">
      <c r="A39" s="527">
        <v>36</v>
      </c>
      <c r="B39" s="537" t="s">
        <v>484</v>
      </c>
      <c r="C39" s="533" t="s">
        <v>481</v>
      </c>
      <c r="D39" s="606">
        <v>1200</v>
      </c>
      <c r="E39" s="540">
        <v>96</v>
      </c>
      <c r="F39" s="540">
        <v>240</v>
      </c>
      <c r="G39" s="540">
        <v>144</v>
      </c>
      <c r="H39" s="540">
        <v>96</v>
      </c>
      <c r="I39" s="540">
        <v>100</v>
      </c>
      <c r="J39" s="530">
        <f t="shared" si="2"/>
        <v>1876</v>
      </c>
      <c r="K39" s="519">
        <v>4.09</v>
      </c>
      <c r="L39" s="519">
        <f t="shared" si="0"/>
        <v>7672.84</v>
      </c>
      <c r="M39" s="541" t="e">
        <f>AVERAGE(#REF!,#REF!,#REF!)</f>
        <v>#REF!</v>
      </c>
      <c r="N39" s="511" t="e">
        <f t="shared" si="3"/>
        <v>#REF!</v>
      </c>
    </row>
    <row r="40" spans="1:14" ht="24">
      <c r="A40" s="524">
        <v>37</v>
      </c>
      <c r="B40" s="536" t="s">
        <v>531</v>
      </c>
      <c r="C40" s="645" t="s">
        <v>481</v>
      </c>
      <c r="D40" s="607">
        <v>30</v>
      </c>
      <c r="E40" s="538">
        <v>60</v>
      </c>
      <c r="F40" s="538">
        <v>100</v>
      </c>
      <c r="G40" s="538">
        <v>0</v>
      </c>
      <c r="H40" s="538">
        <v>72</v>
      </c>
      <c r="I40" s="538">
        <v>60</v>
      </c>
      <c r="J40" s="521">
        <f t="shared" si="2"/>
        <v>322</v>
      </c>
      <c r="K40" s="519">
        <v>2.94</v>
      </c>
      <c r="L40" s="519">
        <f t="shared" si="0"/>
        <v>946.68</v>
      </c>
      <c r="M40" s="541" t="e">
        <f>AVERAGE(#REF!,#REF!,#REF!)</f>
        <v>#REF!</v>
      </c>
      <c r="N40" s="511" t="e">
        <f t="shared" si="3"/>
        <v>#REF!</v>
      </c>
    </row>
    <row r="41" spans="1:14" ht="24">
      <c r="A41" s="527">
        <v>38</v>
      </c>
      <c r="B41" s="537" t="s">
        <v>532</v>
      </c>
      <c r="C41" s="533" t="s">
        <v>481</v>
      </c>
      <c r="D41" s="606">
        <v>800</v>
      </c>
      <c r="E41" s="540">
        <v>96</v>
      </c>
      <c r="F41" s="540">
        <v>100</v>
      </c>
      <c r="G41" s="540">
        <v>180</v>
      </c>
      <c r="H41" s="540">
        <v>0</v>
      </c>
      <c r="I41" s="540">
        <v>60</v>
      </c>
      <c r="J41" s="530">
        <f t="shared" si="2"/>
        <v>1236</v>
      </c>
      <c r="K41" s="519">
        <v>2.9</v>
      </c>
      <c r="L41" s="519">
        <f t="shared" si="0"/>
        <v>3584.4</v>
      </c>
      <c r="M41" s="541" t="e">
        <f>AVERAGE(#REF!,#REF!,#REF!)</f>
        <v>#REF!</v>
      </c>
      <c r="N41" s="511" t="e">
        <f t="shared" si="3"/>
        <v>#REF!</v>
      </c>
    </row>
    <row r="42" spans="1:14" ht="24">
      <c r="A42" s="524">
        <v>39</v>
      </c>
      <c r="B42" s="536" t="s">
        <v>533</v>
      </c>
      <c r="C42" s="645" t="s">
        <v>481</v>
      </c>
      <c r="D42" s="538">
        <v>600</v>
      </c>
      <c r="E42" s="538">
        <v>0</v>
      </c>
      <c r="F42" s="538">
        <v>0</v>
      </c>
      <c r="G42" s="538">
        <v>120</v>
      </c>
      <c r="H42" s="538">
        <v>0</v>
      </c>
      <c r="I42" s="538">
        <v>60</v>
      </c>
      <c r="J42" s="521">
        <f t="shared" si="2"/>
        <v>780</v>
      </c>
      <c r="K42" s="519">
        <v>3.56</v>
      </c>
      <c r="L42" s="519">
        <f t="shared" si="0"/>
        <v>2776.8</v>
      </c>
      <c r="M42" s="541" t="e">
        <f>AVERAGE(#REF!,#REF!,#REF!)</f>
        <v>#REF!</v>
      </c>
      <c r="N42" s="511" t="e">
        <f t="shared" si="3"/>
        <v>#REF!</v>
      </c>
    </row>
    <row r="43" spans="1:14" ht="22.8">
      <c r="A43" s="527">
        <v>40</v>
      </c>
      <c r="B43" s="537" t="s">
        <v>534</v>
      </c>
      <c r="C43" s="533" t="s">
        <v>485</v>
      </c>
      <c r="D43" s="540">
        <v>250</v>
      </c>
      <c r="E43" s="540">
        <v>0</v>
      </c>
      <c r="F43" s="540">
        <v>0</v>
      </c>
      <c r="G43" s="540">
        <v>0</v>
      </c>
      <c r="H43" s="540">
        <v>0</v>
      </c>
      <c r="I43" s="540">
        <v>0</v>
      </c>
      <c r="J43" s="530">
        <f t="shared" si="2"/>
        <v>250</v>
      </c>
      <c r="K43" s="519">
        <v>4.71</v>
      </c>
      <c r="L43" s="519">
        <f t="shared" si="0"/>
        <v>1177.5</v>
      </c>
      <c r="M43" s="541" t="e">
        <f>AVERAGE(#REF!,#REF!,#REF!)</f>
        <v>#REF!</v>
      </c>
      <c r="N43" s="511" t="e">
        <f t="shared" si="3"/>
        <v>#REF!</v>
      </c>
    </row>
    <row r="44" spans="1:14">
      <c r="A44" s="524">
        <v>41</v>
      </c>
      <c r="B44" s="536" t="s">
        <v>535</v>
      </c>
      <c r="C44" s="645" t="s">
        <v>486</v>
      </c>
      <c r="D44" s="607">
        <v>125</v>
      </c>
      <c r="E44" s="538">
        <v>0</v>
      </c>
      <c r="F44" s="538">
        <v>0</v>
      </c>
      <c r="G44" s="538">
        <v>0</v>
      </c>
      <c r="H44" s="538">
        <v>0</v>
      </c>
      <c r="I44" s="538">
        <v>12</v>
      </c>
      <c r="J44" s="521">
        <f t="shared" si="2"/>
        <v>137</v>
      </c>
      <c r="K44" s="519">
        <v>21.62</v>
      </c>
      <c r="L44" s="519">
        <f t="shared" si="0"/>
        <v>2961.94</v>
      </c>
      <c r="M44" s="541" t="e">
        <f>AVERAGE(#REF!,#REF!)</f>
        <v>#REF!</v>
      </c>
      <c r="N44" s="511" t="e">
        <f t="shared" si="3"/>
        <v>#REF!</v>
      </c>
    </row>
    <row r="45" spans="1:14">
      <c r="A45" s="527">
        <v>42</v>
      </c>
      <c r="B45" s="537" t="s">
        <v>536</v>
      </c>
      <c r="C45" s="533" t="s">
        <v>106</v>
      </c>
      <c r="D45" s="606">
        <v>20</v>
      </c>
      <c r="E45" s="540">
        <v>6</v>
      </c>
      <c r="F45" s="540">
        <v>12</v>
      </c>
      <c r="G45" s="540">
        <v>6</v>
      </c>
      <c r="H45" s="540">
        <v>6</v>
      </c>
      <c r="I45" s="540">
        <v>8</v>
      </c>
      <c r="J45" s="530">
        <f t="shared" si="2"/>
        <v>58</v>
      </c>
      <c r="K45" s="519">
        <v>13.3</v>
      </c>
      <c r="L45" s="519">
        <f t="shared" si="0"/>
        <v>771.40000000000009</v>
      </c>
      <c r="M45" s="541" t="e">
        <f>AVERAGE(#REF!,#REF!)</f>
        <v>#REF!</v>
      </c>
      <c r="N45" s="511" t="e">
        <f t="shared" si="3"/>
        <v>#REF!</v>
      </c>
    </row>
    <row r="46" spans="1:14" ht="24">
      <c r="A46" s="524">
        <v>43</v>
      </c>
      <c r="B46" s="536" t="s">
        <v>537</v>
      </c>
      <c r="C46" s="645" t="s">
        <v>106</v>
      </c>
      <c r="D46" s="607">
        <v>40</v>
      </c>
      <c r="E46" s="538">
        <v>12</v>
      </c>
      <c r="F46" s="538">
        <v>24</v>
      </c>
      <c r="G46" s="538">
        <v>12</v>
      </c>
      <c r="H46" s="538">
        <v>6</v>
      </c>
      <c r="I46" s="538">
        <v>4</v>
      </c>
      <c r="J46" s="521">
        <f t="shared" si="2"/>
        <v>98</v>
      </c>
      <c r="K46" s="519">
        <v>12.03</v>
      </c>
      <c r="L46" s="519">
        <f t="shared" si="0"/>
        <v>1178.9399999999998</v>
      </c>
      <c r="M46" s="541" t="e">
        <f>AVERAGE(#REF!,#REF!,#REF!)</f>
        <v>#REF!</v>
      </c>
      <c r="N46" s="511" t="e">
        <f t="shared" si="3"/>
        <v>#REF!</v>
      </c>
    </row>
    <row r="47" spans="1:14">
      <c r="A47" s="527">
        <v>44</v>
      </c>
      <c r="B47" s="537" t="s">
        <v>538</v>
      </c>
      <c r="C47" s="533" t="s">
        <v>106</v>
      </c>
      <c r="D47" s="606">
        <v>2</v>
      </c>
      <c r="E47" s="540">
        <v>1</v>
      </c>
      <c r="F47" s="540">
        <v>1</v>
      </c>
      <c r="G47" s="540">
        <v>1</v>
      </c>
      <c r="H47" s="540">
        <v>1</v>
      </c>
      <c r="I47" s="540">
        <v>1</v>
      </c>
      <c r="J47" s="530">
        <f t="shared" si="2"/>
        <v>7</v>
      </c>
      <c r="K47" s="519">
        <v>15.3</v>
      </c>
      <c r="L47" s="519">
        <f t="shared" si="0"/>
        <v>107.10000000000001</v>
      </c>
      <c r="M47" s="541" t="e">
        <f>AVERAGE(#REF!,#REF!,#REF!)</f>
        <v>#REF!</v>
      </c>
      <c r="N47" s="511" t="e">
        <f t="shared" si="3"/>
        <v>#REF!</v>
      </c>
    </row>
    <row r="48" spans="1:14" ht="48">
      <c r="A48" s="524">
        <v>45</v>
      </c>
      <c r="B48" s="536" t="s">
        <v>546</v>
      </c>
      <c r="C48" s="645" t="s">
        <v>106</v>
      </c>
      <c r="D48" s="607">
        <v>6</v>
      </c>
      <c r="E48" s="538">
        <v>2</v>
      </c>
      <c r="F48" s="538">
        <v>5</v>
      </c>
      <c r="G48" s="538">
        <v>5</v>
      </c>
      <c r="H48" s="538">
        <v>2</v>
      </c>
      <c r="I48" s="538">
        <v>2</v>
      </c>
      <c r="J48" s="521">
        <f t="shared" si="2"/>
        <v>22</v>
      </c>
      <c r="K48" s="520">
        <v>21.04</v>
      </c>
      <c r="L48" s="520">
        <f t="shared" si="0"/>
        <v>462.88</v>
      </c>
      <c r="M48" s="541" t="e">
        <f>AVERAGE(#REF!,#REF!,#REF!)</f>
        <v>#REF!</v>
      </c>
      <c r="N48" s="511" t="e">
        <f t="shared" si="3"/>
        <v>#REF!</v>
      </c>
    </row>
    <row r="49" spans="1:14" ht="15" customHeight="1">
      <c r="A49" s="1258" t="s">
        <v>539</v>
      </c>
      <c r="B49" s="1259"/>
      <c r="C49" s="1259"/>
      <c r="D49" s="1259"/>
      <c r="E49" s="1259"/>
      <c r="F49" s="1259"/>
      <c r="G49" s="1259"/>
      <c r="H49" s="1259"/>
      <c r="I49" s="1259"/>
      <c r="J49" s="1259"/>
      <c r="K49" s="1260"/>
      <c r="L49" s="566">
        <f>SUM(L4:L48)</f>
        <v>78681.759999999995</v>
      </c>
      <c r="M49" s="542"/>
      <c r="N49" s="565" t="e">
        <f>SUM(N4:N48)</f>
        <v>#REF!</v>
      </c>
    </row>
    <row r="50" spans="1:14">
      <c r="A50" s="1245" t="s">
        <v>487</v>
      </c>
      <c r="B50" s="1245"/>
      <c r="C50" s="1245"/>
      <c r="D50" s="1245"/>
      <c r="E50" s="1245"/>
      <c r="F50" s="1245"/>
      <c r="G50" s="1245"/>
      <c r="H50" s="1245"/>
      <c r="I50" s="1245"/>
      <c r="J50" s="1245"/>
      <c r="K50" s="1246"/>
      <c r="L50" s="1246"/>
      <c r="M50" s="1245"/>
      <c r="N50" s="1245"/>
    </row>
    <row r="51" spans="1:14" ht="48">
      <c r="A51" s="531">
        <v>46</v>
      </c>
      <c r="B51" s="537" t="s">
        <v>488</v>
      </c>
      <c r="C51" s="533" t="s">
        <v>489</v>
      </c>
      <c r="D51" s="606">
        <v>72</v>
      </c>
      <c r="E51" s="540">
        <v>24</v>
      </c>
      <c r="F51" s="540">
        <v>12</v>
      </c>
      <c r="G51" s="540">
        <v>20</v>
      </c>
      <c r="H51" s="540">
        <v>0</v>
      </c>
      <c r="I51" s="540">
        <v>50</v>
      </c>
      <c r="J51" s="632">
        <f t="shared" ref="J51:J56" si="4">SUM(D51:I51)</f>
        <v>178</v>
      </c>
      <c r="K51" s="519">
        <v>91.75</v>
      </c>
      <c r="L51" s="519">
        <f t="shared" ref="L51:L56" si="5">J51*K51</f>
        <v>16331.5</v>
      </c>
      <c r="M51" s="541" t="e">
        <f>AVERAGE(#REF!,#REF!,#REF!)</f>
        <v>#REF!</v>
      </c>
      <c r="N51" s="511" t="e">
        <f t="shared" ref="N51:N56" si="6">J51*M51</f>
        <v>#REF!</v>
      </c>
    </row>
    <row r="52" spans="1:14" ht="48">
      <c r="A52" s="535">
        <v>47</v>
      </c>
      <c r="B52" s="536" t="s">
        <v>540</v>
      </c>
      <c r="C52" s="645" t="s">
        <v>541</v>
      </c>
      <c r="D52" s="538">
        <v>48</v>
      </c>
      <c r="E52" s="538">
        <v>4</v>
      </c>
      <c r="F52" s="538">
        <v>4</v>
      </c>
      <c r="G52" s="538">
        <v>4</v>
      </c>
      <c r="H52" s="538">
        <v>4</v>
      </c>
      <c r="I52" s="538">
        <v>8</v>
      </c>
      <c r="J52" s="600">
        <f t="shared" si="4"/>
        <v>72</v>
      </c>
      <c r="K52" s="519">
        <v>74</v>
      </c>
      <c r="L52" s="519">
        <f t="shared" si="5"/>
        <v>5328</v>
      </c>
      <c r="M52" s="541" t="e">
        <f>AVERAGE(#REF!,#REF!)</f>
        <v>#REF!</v>
      </c>
      <c r="N52" s="511" t="e">
        <f t="shared" si="6"/>
        <v>#REF!</v>
      </c>
    </row>
    <row r="53" spans="1:14">
      <c r="A53" s="531">
        <v>48</v>
      </c>
      <c r="B53" s="537" t="s">
        <v>490</v>
      </c>
      <c r="C53" s="533" t="s">
        <v>106</v>
      </c>
      <c r="D53" s="540">
        <v>1224</v>
      </c>
      <c r="E53" s="540">
        <v>264</v>
      </c>
      <c r="F53" s="540">
        <v>360</v>
      </c>
      <c r="G53" s="540">
        <v>280</v>
      </c>
      <c r="H53" s="540">
        <v>48</v>
      </c>
      <c r="I53" s="540">
        <v>200</v>
      </c>
      <c r="J53" s="534">
        <f t="shared" si="4"/>
        <v>2376</v>
      </c>
      <c r="K53" s="519">
        <v>1.76</v>
      </c>
      <c r="L53" s="519">
        <f t="shared" si="5"/>
        <v>4181.76</v>
      </c>
      <c r="M53" s="541" t="e">
        <f>AVERAGE(#REF!,#REF!,#REF!)</f>
        <v>#REF!</v>
      </c>
      <c r="N53" s="511" t="e">
        <f t="shared" si="6"/>
        <v>#REF!</v>
      </c>
    </row>
    <row r="54" spans="1:14" ht="36">
      <c r="A54" s="535">
        <v>49</v>
      </c>
      <c r="B54" s="525" t="s">
        <v>547</v>
      </c>
      <c r="C54" s="526" t="s">
        <v>471</v>
      </c>
      <c r="D54" s="602">
        <v>240</v>
      </c>
      <c r="E54" s="603">
        <v>24</v>
      </c>
      <c r="F54" s="603">
        <v>60</v>
      </c>
      <c r="G54" s="603">
        <v>60</v>
      </c>
      <c r="H54" s="603">
        <v>6</v>
      </c>
      <c r="I54" s="603">
        <v>50</v>
      </c>
      <c r="J54" s="521">
        <f t="shared" si="4"/>
        <v>440</v>
      </c>
      <c r="K54" s="519">
        <v>12.89</v>
      </c>
      <c r="L54" s="519">
        <f t="shared" si="5"/>
        <v>5671.6</v>
      </c>
      <c r="M54" s="541" t="e">
        <f>AVERAGE(#REF!,#REF!,#REF!)</f>
        <v>#REF!</v>
      </c>
      <c r="N54" s="511" t="e">
        <f t="shared" si="6"/>
        <v>#REF!</v>
      </c>
    </row>
    <row r="55" spans="1:14">
      <c r="A55" s="531">
        <v>50</v>
      </c>
      <c r="B55" s="537" t="s">
        <v>491</v>
      </c>
      <c r="C55" s="533" t="s">
        <v>492</v>
      </c>
      <c r="D55" s="606">
        <v>144</v>
      </c>
      <c r="E55" s="540">
        <v>24</v>
      </c>
      <c r="F55" s="540">
        <v>36</v>
      </c>
      <c r="G55" s="540">
        <v>36</v>
      </c>
      <c r="H55" s="540">
        <v>12</v>
      </c>
      <c r="I55" s="540">
        <v>40</v>
      </c>
      <c r="J55" s="534">
        <f t="shared" si="4"/>
        <v>292</v>
      </c>
      <c r="K55" s="519">
        <v>69.58</v>
      </c>
      <c r="L55" s="519">
        <f t="shared" si="5"/>
        <v>20317.36</v>
      </c>
      <c r="M55" s="541" t="e">
        <f>AVERAGE(#REF!,#REF!)</f>
        <v>#REF!</v>
      </c>
      <c r="N55" s="511" t="e">
        <f t="shared" si="6"/>
        <v>#REF!</v>
      </c>
    </row>
    <row r="56" spans="1:14">
      <c r="A56" s="535">
        <v>51</v>
      </c>
      <c r="B56" s="569" t="s">
        <v>542</v>
      </c>
      <c r="C56" s="570" t="s">
        <v>492</v>
      </c>
      <c r="D56" s="608">
        <v>24</v>
      </c>
      <c r="E56" s="609">
        <v>12</v>
      </c>
      <c r="F56" s="609">
        <v>0</v>
      </c>
      <c r="G56" s="609">
        <v>90</v>
      </c>
      <c r="H56" s="609">
        <v>0</v>
      </c>
      <c r="I56" s="609">
        <v>0</v>
      </c>
      <c r="J56" s="571">
        <f t="shared" si="4"/>
        <v>126</v>
      </c>
      <c r="K56" s="520">
        <v>98.33</v>
      </c>
      <c r="L56" s="520">
        <f t="shared" si="5"/>
        <v>12389.58</v>
      </c>
      <c r="M56" s="572" t="e">
        <f>AVERAGE(#REF!,#REF!)</f>
        <v>#REF!</v>
      </c>
      <c r="N56" s="573" t="e">
        <f t="shared" si="6"/>
        <v>#REF!</v>
      </c>
    </row>
    <row r="57" spans="1:14" ht="15" customHeight="1">
      <c r="A57" s="1261" t="s">
        <v>543</v>
      </c>
      <c r="B57" s="1262"/>
      <c r="C57" s="1262"/>
      <c r="D57" s="1262"/>
      <c r="E57" s="1262"/>
      <c r="F57" s="1262"/>
      <c r="G57" s="1262"/>
      <c r="H57" s="1262"/>
      <c r="I57" s="1262"/>
      <c r="J57" s="1262"/>
      <c r="K57" s="1263"/>
      <c r="L57" s="629">
        <f>SUM(L51:L56)</f>
        <v>64219.8</v>
      </c>
      <c r="M57" s="628"/>
      <c r="N57" s="568" t="e">
        <f>SUM(N51:N56)</f>
        <v>#REF!</v>
      </c>
    </row>
    <row r="58" spans="1:14" ht="15" customHeight="1">
      <c r="A58" s="1261" t="s">
        <v>554</v>
      </c>
      <c r="B58" s="1262"/>
      <c r="C58" s="1262"/>
      <c r="D58" s="1262"/>
      <c r="E58" s="1262"/>
      <c r="F58" s="1262"/>
      <c r="G58" s="1262"/>
      <c r="H58" s="1262"/>
      <c r="I58" s="1262"/>
      <c r="J58" s="1262"/>
      <c r="K58" s="1263"/>
      <c r="L58" s="629">
        <f>L49+L57</f>
        <v>142901.56</v>
      </c>
      <c r="M58" s="628"/>
      <c r="N58" s="574" t="e">
        <f>N49+N57</f>
        <v>#REF!</v>
      </c>
    </row>
    <row r="59" spans="1:14" ht="15" customHeight="1">
      <c r="A59" s="1266" t="s">
        <v>544</v>
      </c>
      <c r="B59" s="1267"/>
      <c r="C59" s="1267"/>
      <c r="D59" s="1267"/>
      <c r="E59" s="1267"/>
      <c r="F59" s="1267"/>
      <c r="G59" s="1267"/>
      <c r="H59" s="1267"/>
      <c r="I59" s="1267"/>
      <c r="J59" s="1267"/>
      <c r="K59" s="1268"/>
      <c r="L59" s="629">
        <f>L58/12</f>
        <v>11908.463333333333</v>
      </c>
      <c r="M59" s="628"/>
      <c r="N59" s="574" t="e">
        <f>N58/12</f>
        <v>#REF!</v>
      </c>
    </row>
    <row r="60" spans="1:14" ht="15" customHeight="1">
      <c r="A60" s="1261" t="s">
        <v>560</v>
      </c>
      <c r="B60" s="1262"/>
      <c r="C60" s="1262"/>
      <c r="D60" s="1262"/>
      <c r="E60" s="1262"/>
      <c r="F60" s="1262"/>
      <c r="G60" s="1262"/>
      <c r="H60" s="1262"/>
      <c r="I60" s="1262"/>
      <c r="J60" s="1262"/>
      <c r="K60" s="1263"/>
      <c r="L60" s="629">
        <f>L59/23</f>
        <v>517.75927536231882</v>
      </c>
      <c r="M60" s="628"/>
      <c r="N60" s="574" t="e">
        <f>N59/23</f>
        <v>#REF!</v>
      </c>
    </row>
    <row r="61" spans="1:14" ht="16.8" customHeight="1">
      <c r="A61" s="1265" t="s">
        <v>579</v>
      </c>
      <c r="B61" s="1265"/>
      <c r="C61" s="1265"/>
      <c r="D61" s="1265"/>
      <c r="E61" s="1265"/>
      <c r="F61" s="1265"/>
      <c r="G61" s="1265"/>
      <c r="H61" s="1265"/>
      <c r="I61" s="1265"/>
      <c r="J61" s="1265"/>
      <c r="K61" s="623"/>
      <c r="L61" s="624"/>
      <c r="M61" s="81"/>
      <c r="N61" s="81"/>
    </row>
    <row r="62" spans="1:14" s="104" customFormat="1" ht="13.2">
      <c r="A62" s="619"/>
      <c r="C62" s="620"/>
      <c r="J62" s="621"/>
      <c r="K62" s="513"/>
      <c r="L62" s="513"/>
      <c r="M62" s="514"/>
      <c r="N62" s="514"/>
    </row>
    <row r="63" spans="1:14" s="104" customFormat="1" ht="13.2">
      <c r="A63" s="619"/>
      <c r="C63" s="620"/>
      <c r="J63" s="621"/>
      <c r="K63" s="513"/>
      <c r="L63" s="513"/>
      <c r="M63" s="514"/>
      <c r="N63" s="514"/>
    </row>
    <row r="64" spans="1:14" s="104" customFormat="1" ht="14.4" customHeight="1">
      <c r="A64" s="1264"/>
      <c r="B64" s="1264"/>
      <c r="C64" s="1264"/>
      <c r="D64" s="1264"/>
      <c r="E64" s="1264"/>
      <c r="F64" s="1264"/>
      <c r="G64" s="1264"/>
      <c r="H64" s="1264"/>
      <c r="I64" s="1264"/>
      <c r="J64" s="1264"/>
      <c r="K64" s="513"/>
      <c r="L64" s="513"/>
      <c r="M64" s="514"/>
      <c r="N64" s="514"/>
    </row>
    <row r="65" spans="1:14" s="104" customFormat="1" ht="13.2">
      <c r="A65" s="1264"/>
      <c r="B65" s="1264"/>
      <c r="C65" s="1264"/>
      <c r="D65" s="1264"/>
      <c r="E65" s="1264"/>
      <c r="F65" s="1264"/>
      <c r="G65" s="1264"/>
      <c r="H65" s="1264"/>
      <c r="I65" s="1264"/>
      <c r="J65" s="1264"/>
      <c r="K65" s="513"/>
      <c r="L65" s="513"/>
      <c r="M65" s="514"/>
      <c r="N65" s="514"/>
    </row>
    <row r="66" spans="1:14" s="104" customFormat="1" ht="13.2">
      <c r="A66" s="1264"/>
      <c r="B66" s="1264"/>
      <c r="C66" s="1264"/>
      <c r="D66" s="1264"/>
      <c r="E66" s="1264"/>
      <c r="F66" s="1264"/>
      <c r="G66" s="1264"/>
      <c r="H66" s="1264"/>
      <c r="I66" s="1264"/>
      <c r="J66" s="1264"/>
      <c r="K66" s="513"/>
      <c r="L66" s="513"/>
      <c r="M66" s="514"/>
      <c r="N66" s="514"/>
    </row>
    <row r="67" spans="1:14" s="104" customFormat="1" ht="13.2">
      <c r="A67" s="619"/>
      <c r="C67" s="620"/>
      <c r="J67" s="621"/>
      <c r="K67" s="513"/>
      <c r="L67" s="513"/>
      <c r="M67" s="514"/>
      <c r="N67" s="514"/>
    </row>
    <row r="68" spans="1:14">
      <c r="A68" s="619"/>
      <c r="B68" s="104"/>
      <c r="C68" s="620"/>
      <c r="D68" s="104"/>
      <c r="E68" s="104"/>
      <c r="F68" s="104"/>
      <c r="G68" s="104"/>
      <c r="H68" s="104"/>
      <c r="I68" s="104"/>
    </row>
  </sheetData>
  <mergeCells count="18">
    <mergeCell ref="A57:K57"/>
    <mergeCell ref="A64:J64"/>
    <mergeCell ref="A66:J66"/>
    <mergeCell ref="A65:J65"/>
    <mergeCell ref="A61:J61"/>
    <mergeCell ref="A58:K58"/>
    <mergeCell ref="A59:K59"/>
    <mergeCell ref="A60:K60"/>
    <mergeCell ref="A1:N1"/>
    <mergeCell ref="A50:N50"/>
    <mergeCell ref="A2:A3"/>
    <mergeCell ref="B2:B3"/>
    <mergeCell ref="C2:C3"/>
    <mergeCell ref="D2:I2"/>
    <mergeCell ref="J2:J3"/>
    <mergeCell ref="M2:N2"/>
    <mergeCell ref="K2:L2"/>
    <mergeCell ref="A49:K49"/>
  </mergeCells>
  <printOptions horizontalCentered="1" verticalCentered="1"/>
  <pageMargins left="0.19685039370078741" right="0.19685039370078741" top="0.39370078740157483" bottom="0.19685039370078741" header="0.31496062992125984" footer="0.31496062992125984"/>
  <pageSetup paperSize="9" scale="90" fitToHeight="0" orientation="landscape" r:id="rId1"/>
  <ignoredErrors>
    <ignoredError sqref="M11:M16 M32 M52 M25" formula="1"/>
  </ignoredError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1"/>
  <sheetViews>
    <sheetView showGridLines="0" zoomScale="90" zoomScaleNormal="90" workbookViewId="0">
      <pane ySplit="3" topLeftCell="A25" activePane="bottomLeft" state="frozen"/>
      <selection pane="bottomLeft" activeCell="A34" sqref="A34:J34"/>
    </sheetView>
  </sheetViews>
  <sheetFormatPr defaultRowHeight="13.8"/>
  <cols>
    <col min="1" max="1" width="6.21875" style="81" customWidth="1"/>
    <col min="2" max="2" width="44.77734375" style="103" customWidth="1"/>
    <col min="3" max="3" width="10.21875" style="104" customWidth="1"/>
    <col min="4" max="4" width="11.5546875" style="81" customWidth="1"/>
    <col min="5" max="5" width="10" style="81" customWidth="1"/>
    <col min="6" max="6" width="9.33203125" style="81" customWidth="1"/>
    <col min="7" max="7" width="8.21875" style="81" customWidth="1"/>
    <col min="8" max="8" width="9.88671875" style="81" customWidth="1"/>
    <col min="9" max="9" width="12.21875" style="81" customWidth="1"/>
    <col min="10" max="10" width="9.109375" style="81" customWidth="1"/>
    <col min="11" max="11" width="12.33203125" style="105" customWidth="1"/>
    <col min="12" max="12" width="11.109375" style="106" customWidth="1"/>
    <col min="13" max="1009" width="8.6640625" style="81" customWidth="1"/>
    <col min="1010" max="16384" width="8.88671875" style="81"/>
  </cols>
  <sheetData>
    <row r="1" spans="1:12" ht="22.2" customHeight="1">
      <c r="A1" s="1269" t="s">
        <v>584</v>
      </c>
      <c r="B1" s="1269"/>
      <c r="C1" s="1269"/>
      <c r="D1" s="1269"/>
      <c r="E1" s="1269"/>
      <c r="F1" s="1269"/>
      <c r="G1" s="1269"/>
      <c r="H1" s="1269"/>
      <c r="I1" s="1269"/>
      <c r="J1" s="1269"/>
      <c r="K1" s="1269"/>
      <c r="L1" s="1269"/>
    </row>
    <row r="2" spans="1:12" ht="28.8" customHeight="1">
      <c r="A2" s="1274" t="s">
        <v>0</v>
      </c>
      <c r="B2" s="1247" t="s">
        <v>1</v>
      </c>
      <c r="C2" s="1247" t="s">
        <v>100</v>
      </c>
      <c r="D2" s="1249" t="s">
        <v>586</v>
      </c>
      <c r="E2" s="1250"/>
      <c r="F2" s="1250"/>
      <c r="G2" s="1250"/>
      <c r="H2" s="1250"/>
      <c r="I2" s="1251"/>
      <c r="J2" s="1276" t="s">
        <v>104</v>
      </c>
      <c r="K2" s="1256" t="s">
        <v>573</v>
      </c>
      <c r="L2" s="1257"/>
    </row>
    <row r="3" spans="1:12" s="84" customFormat="1" ht="34.200000000000003" customHeight="1">
      <c r="A3" s="1275"/>
      <c r="B3" s="1248"/>
      <c r="C3" s="1248"/>
      <c r="D3" s="505" t="s">
        <v>565</v>
      </c>
      <c r="E3" s="505" t="s">
        <v>130</v>
      </c>
      <c r="F3" s="505" t="s">
        <v>566</v>
      </c>
      <c r="G3" s="505" t="s">
        <v>583</v>
      </c>
      <c r="H3" s="505" t="s">
        <v>582</v>
      </c>
      <c r="I3" s="505" t="s">
        <v>587</v>
      </c>
      <c r="J3" s="1277"/>
      <c r="K3" s="518" t="s">
        <v>467</v>
      </c>
      <c r="L3" s="518" t="s">
        <v>104</v>
      </c>
    </row>
    <row r="4" spans="1:12" ht="49.2" customHeight="1">
      <c r="A4" s="674">
        <v>1</v>
      </c>
      <c r="B4" s="676" t="s">
        <v>105</v>
      </c>
      <c r="C4" s="675" t="s">
        <v>106</v>
      </c>
      <c r="D4" s="673">
        <v>1</v>
      </c>
      <c r="E4" s="673">
        <v>0</v>
      </c>
      <c r="F4" s="673">
        <v>0</v>
      </c>
      <c r="G4" s="673">
        <v>0</v>
      </c>
      <c r="H4" s="673">
        <v>0</v>
      </c>
      <c r="I4" s="673">
        <v>0</v>
      </c>
      <c r="J4" s="674">
        <f>SUM(D4:I4)</f>
        <v>1</v>
      </c>
      <c r="K4" s="710">
        <v>363.5</v>
      </c>
      <c r="L4" s="656">
        <f t="shared" ref="L4:L25" si="0">TRUNC(K4*J4,2)</f>
        <v>363.5</v>
      </c>
    </row>
    <row r="5" spans="1:12">
      <c r="A5" s="653">
        <v>2</v>
      </c>
      <c r="B5" s="651" t="s">
        <v>107</v>
      </c>
      <c r="C5" s="652" t="s">
        <v>106</v>
      </c>
      <c r="D5" s="671">
        <v>1</v>
      </c>
      <c r="E5" s="671">
        <v>1</v>
      </c>
      <c r="F5" s="671">
        <v>1</v>
      </c>
      <c r="G5" s="671">
        <v>1</v>
      </c>
      <c r="H5" s="671">
        <v>0</v>
      </c>
      <c r="I5" s="671">
        <v>1</v>
      </c>
      <c r="J5" s="711">
        <f t="shared" ref="J5:J31" si="1">SUM(D5:I5)</f>
        <v>5</v>
      </c>
      <c r="K5" s="650">
        <v>99.5</v>
      </c>
      <c r="L5" s="646">
        <f t="shared" si="0"/>
        <v>497.5</v>
      </c>
    </row>
    <row r="6" spans="1:12" ht="49.8" customHeight="1">
      <c r="A6" s="649">
        <v>3</v>
      </c>
      <c r="B6" s="647" t="s">
        <v>109</v>
      </c>
      <c r="C6" s="648" t="s">
        <v>106</v>
      </c>
      <c r="D6" s="673">
        <v>1</v>
      </c>
      <c r="E6" s="673">
        <v>1</v>
      </c>
      <c r="F6" s="673">
        <v>1</v>
      </c>
      <c r="G6" s="673">
        <v>1</v>
      </c>
      <c r="H6" s="673">
        <v>1</v>
      </c>
      <c r="I6" s="673">
        <v>1</v>
      </c>
      <c r="J6" s="674">
        <f t="shared" si="1"/>
        <v>6</v>
      </c>
      <c r="K6" s="650">
        <v>274.70999999999998</v>
      </c>
      <c r="L6" s="646">
        <f t="shared" si="0"/>
        <v>1648.26</v>
      </c>
    </row>
    <row r="7" spans="1:12">
      <c r="A7" s="653">
        <v>4</v>
      </c>
      <c r="B7" s="651" t="s">
        <v>110</v>
      </c>
      <c r="C7" s="652" t="s">
        <v>106</v>
      </c>
      <c r="D7" s="671">
        <v>1</v>
      </c>
      <c r="E7" s="671">
        <v>1</v>
      </c>
      <c r="F7" s="671">
        <v>1</v>
      </c>
      <c r="G7" s="671">
        <v>1</v>
      </c>
      <c r="H7" s="671">
        <v>0</v>
      </c>
      <c r="I7" s="671">
        <v>0</v>
      </c>
      <c r="J7" s="711">
        <f t="shared" si="1"/>
        <v>4</v>
      </c>
      <c r="K7" s="650">
        <v>205.97</v>
      </c>
      <c r="L7" s="646">
        <f t="shared" si="0"/>
        <v>823.88</v>
      </c>
    </row>
    <row r="8" spans="1:12" ht="25.8" customHeight="1">
      <c r="A8" s="649">
        <v>5</v>
      </c>
      <c r="B8" s="647" t="s">
        <v>111</v>
      </c>
      <c r="C8" s="648" t="s">
        <v>106</v>
      </c>
      <c r="D8" s="673">
        <v>30</v>
      </c>
      <c r="E8" s="506">
        <v>10</v>
      </c>
      <c r="F8" s="673">
        <v>20</v>
      </c>
      <c r="G8" s="673">
        <v>12</v>
      </c>
      <c r="H8" s="673">
        <v>2</v>
      </c>
      <c r="I8" s="673">
        <v>2</v>
      </c>
      <c r="J8" s="674">
        <f t="shared" si="1"/>
        <v>76</v>
      </c>
      <c r="K8" s="650">
        <v>28.83</v>
      </c>
      <c r="L8" s="646">
        <f t="shared" si="0"/>
        <v>2191.08</v>
      </c>
    </row>
    <row r="9" spans="1:12" ht="27" customHeight="1">
      <c r="A9" s="653">
        <v>6</v>
      </c>
      <c r="B9" s="651" t="s">
        <v>112</v>
      </c>
      <c r="C9" s="652" t="s">
        <v>106</v>
      </c>
      <c r="D9" s="671">
        <v>4</v>
      </c>
      <c r="E9" s="671">
        <v>1</v>
      </c>
      <c r="F9" s="671">
        <v>1</v>
      </c>
      <c r="G9" s="671">
        <v>1</v>
      </c>
      <c r="H9" s="671">
        <v>1</v>
      </c>
      <c r="I9" s="671">
        <v>1</v>
      </c>
      <c r="J9" s="711">
        <f t="shared" si="1"/>
        <v>9</v>
      </c>
      <c r="K9" s="650">
        <v>250.14</v>
      </c>
      <c r="L9" s="646">
        <f t="shared" si="0"/>
        <v>2251.2600000000002</v>
      </c>
    </row>
    <row r="10" spans="1:12">
      <c r="A10" s="649">
        <v>7</v>
      </c>
      <c r="B10" s="647" t="s">
        <v>113</v>
      </c>
      <c r="C10" s="648" t="s">
        <v>106</v>
      </c>
      <c r="D10" s="673">
        <v>4</v>
      </c>
      <c r="E10" s="673">
        <v>1</v>
      </c>
      <c r="F10" s="673">
        <v>1</v>
      </c>
      <c r="G10" s="673">
        <v>1</v>
      </c>
      <c r="H10" s="673">
        <v>1</v>
      </c>
      <c r="I10" s="673">
        <v>2</v>
      </c>
      <c r="J10" s="674">
        <f t="shared" si="1"/>
        <v>10</v>
      </c>
      <c r="K10" s="650">
        <v>25.84</v>
      </c>
      <c r="L10" s="646">
        <f t="shared" si="0"/>
        <v>258.39999999999998</v>
      </c>
    </row>
    <row r="11" spans="1:12" ht="29.4" customHeight="1">
      <c r="A11" s="653">
        <v>8</v>
      </c>
      <c r="B11" s="651" t="s">
        <v>249</v>
      </c>
      <c r="C11" s="652" t="s">
        <v>106</v>
      </c>
      <c r="D11" s="671">
        <v>15</v>
      </c>
      <c r="E11" s="671">
        <v>3</v>
      </c>
      <c r="F11" s="671">
        <v>3</v>
      </c>
      <c r="G11" s="671">
        <v>4</v>
      </c>
      <c r="H11" s="671">
        <v>1</v>
      </c>
      <c r="I11" s="671">
        <v>1</v>
      </c>
      <c r="J11" s="711">
        <f t="shared" si="1"/>
        <v>27</v>
      </c>
      <c r="K11" s="650">
        <v>38.93</v>
      </c>
      <c r="L11" s="646">
        <f t="shared" si="0"/>
        <v>1051.1099999999999</v>
      </c>
    </row>
    <row r="12" spans="1:12">
      <c r="A12" s="649">
        <v>9</v>
      </c>
      <c r="B12" s="647" t="s">
        <v>114</v>
      </c>
      <c r="C12" s="648" t="s">
        <v>106</v>
      </c>
      <c r="D12" s="673">
        <v>6</v>
      </c>
      <c r="E12" s="673">
        <v>2</v>
      </c>
      <c r="F12" s="673">
        <v>2</v>
      </c>
      <c r="G12" s="673">
        <v>3</v>
      </c>
      <c r="H12" s="673">
        <v>1</v>
      </c>
      <c r="I12" s="673">
        <v>3</v>
      </c>
      <c r="J12" s="674">
        <f t="shared" si="1"/>
        <v>17</v>
      </c>
      <c r="K12" s="650">
        <v>30.17</v>
      </c>
      <c r="L12" s="646">
        <f t="shared" si="0"/>
        <v>512.89</v>
      </c>
    </row>
    <row r="13" spans="1:12" ht="41.4">
      <c r="A13" s="653">
        <v>10</v>
      </c>
      <c r="B13" s="651" t="s">
        <v>115</v>
      </c>
      <c r="C13" s="652" t="s">
        <v>106</v>
      </c>
      <c r="D13" s="671">
        <v>11</v>
      </c>
      <c r="E13" s="671">
        <v>2</v>
      </c>
      <c r="F13" s="671">
        <v>12</v>
      </c>
      <c r="G13" s="671">
        <v>4</v>
      </c>
      <c r="H13" s="671">
        <v>2</v>
      </c>
      <c r="I13" s="671">
        <v>2</v>
      </c>
      <c r="J13" s="711">
        <f t="shared" si="1"/>
        <v>33</v>
      </c>
      <c r="K13" s="650">
        <v>32.17</v>
      </c>
      <c r="L13" s="646">
        <f t="shared" si="0"/>
        <v>1061.6099999999999</v>
      </c>
    </row>
    <row r="14" spans="1:12" ht="82.8">
      <c r="A14" s="649">
        <v>11</v>
      </c>
      <c r="B14" s="647" t="s">
        <v>116</v>
      </c>
      <c r="C14" s="648" t="s">
        <v>106</v>
      </c>
      <c r="D14" s="673">
        <v>11</v>
      </c>
      <c r="E14" s="673">
        <v>4</v>
      </c>
      <c r="F14" s="673">
        <v>7</v>
      </c>
      <c r="G14" s="673">
        <v>7</v>
      </c>
      <c r="H14" s="673">
        <v>2</v>
      </c>
      <c r="I14" s="673">
        <v>4</v>
      </c>
      <c r="J14" s="674">
        <f t="shared" si="1"/>
        <v>35</v>
      </c>
      <c r="K14" s="650">
        <v>37.880000000000003</v>
      </c>
      <c r="L14" s="646">
        <f t="shared" si="0"/>
        <v>1325.8</v>
      </c>
    </row>
    <row r="15" spans="1:12" ht="27.6">
      <c r="A15" s="653">
        <v>12</v>
      </c>
      <c r="B15" s="651" t="s">
        <v>117</v>
      </c>
      <c r="C15" s="652" t="s">
        <v>106</v>
      </c>
      <c r="D15" s="671">
        <v>36</v>
      </c>
      <c r="E15" s="671">
        <v>5</v>
      </c>
      <c r="F15" s="671">
        <v>12</v>
      </c>
      <c r="G15" s="671">
        <v>3</v>
      </c>
      <c r="H15" s="671">
        <v>1</v>
      </c>
      <c r="I15" s="671">
        <v>4</v>
      </c>
      <c r="J15" s="711">
        <f t="shared" si="1"/>
        <v>61</v>
      </c>
      <c r="K15" s="650">
        <v>39.83</v>
      </c>
      <c r="L15" s="646">
        <f t="shared" si="0"/>
        <v>2429.63</v>
      </c>
    </row>
    <row r="16" spans="1:12" ht="27.6">
      <c r="A16" s="649">
        <v>13</v>
      </c>
      <c r="B16" s="647" t="s">
        <v>118</v>
      </c>
      <c r="C16" s="648" t="s">
        <v>106</v>
      </c>
      <c r="D16" s="673">
        <v>1</v>
      </c>
      <c r="E16" s="673">
        <v>1</v>
      </c>
      <c r="F16" s="673">
        <v>0</v>
      </c>
      <c r="G16" s="673">
        <v>0</v>
      </c>
      <c r="H16" s="673">
        <v>0</v>
      </c>
      <c r="I16" s="673">
        <v>0</v>
      </c>
      <c r="J16" s="674">
        <f t="shared" si="1"/>
        <v>2</v>
      </c>
      <c r="K16" s="650">
        <v>1074.23</v>
      </c>
      <c r="L16" s="646">
        <f t="shared" si="0"/>
        <v>2148.46</v>
      </c>
    </row>
    <row r="17" spans="1:12" ht="27.6">
      <c r="A17" s="653">
        <v>14</v>
      </c>
      <c r="B17" s="651" t="s">
        <v>119</v>
      </c>
      <c r="C17" s="652" t="s">
        <v>106</v>
      </c>
      <c r="D17" s="671">
        <v>1</v>
      </c>
      <c r="E17" s="671">
        <v>1</v>
      </c>
      <c r="F17" s="671">
        <v>1</v>
      </c>
      <c r="G17" s="671">
        <v>1</v>
      </c>
      <c r="H17" s="671">
        <v>1</v>
      </c>
      <c r="I17" s="671">
        <v>2</v>
      </c>
      <c r="J17" s="711">
        <f t="shared" si="1"/>
        <v>7</v>
      </c>
      <c r="K17" s="650">
        <v>264.97000000000003</v>
      </c>
      <c r="L17" s="646">
        <f t="shared" si="0"/>
        <v>1854.79</v>
      </c>
    </row>
    <row r="18" spans="1:12">
      <c r="A18" s="649">
        <v>15</v>
      </c>
      <c r="B18" s="647" t="s">
        <v>120</v>
      </c>
      <c r="C18" s="648" t="s">
        <v>106</v>
      </c>
      <c r="D18" s="673">
        <v>2</v>
      </c>
      <c r="E18" s="673">
        <v>0</v>
      </c>
      <c r="F18" s="673">
        <v>1</v>
      </c>
      <c r="G18" s="673">
        <v>1</v>
      </c>
      <c r="H18" s="673">
        <v>0</v>
      </c>
      <c r="I18" s="673">
        <v>1</v>
      </c>
      <c r="J18" s="674">
        <f t="shared" si="1"/>
        <v>5</v>
      </c>
      <c r="K18" s="650">
        <v>154.71</v>
      </c>
      <c r="L18" s="646">
        <f t="shared" si="0"/>
        <v>773.55</v>
      </c>
    </row>
    <row r="19" spans="1:12" ht="41.4">
      <c r="A19" s="653">
        <v>16</v>
      </c>
      <c r="B19" s="651" t="s">
        <v>121</v>
      </c>
      <c r="C19" s="652" t="s">
        <v>106</v>
      </c>
      <c r="D19" s="671">
        <v>2</v>
      </c>
      <c r="E19" s="671">
        <v>0</v>
      </c>
      <c r="F19" s="671">
        <v>0</v>
      </c>
      <c r="G19" s="671">
        <v>0</v>
      </c>
      <c r="H19" s="671">
        <v>0</v>
      </c>
      <c r="I19" s="671">
        <v>1</v>
      </c>
      <c r="J19" s="711">
        <f t="shared" si="1"/>
        <v>3</v>
      </c>
      <c r="K19" s="650">
        <v>135.43</v>
      </c>
      <c r="L19" s="646">
        <f t="shared" si="0"/>
        <v>406.29</v>
      </c>
    </row>
    <row r="20" spans="1:12" ht="27.6">
      <c r="A20" s="649">
        <v>17</v>
      </c>
      <c r="B20" s="647" t="s">
        <v>122</v>
      </c>
      <c r="C20" s="648" t="s">
        <v>106</v>
      </c>
      <c r="D20" s="673">
        <v>2</v>
      </c>
      <c r="E20" s="673">
        <v>1</v>
      </c>
      <c r="F20" s="673">
        <v>1</v>
      </c>
      <c r="G20" s="673">
        <v>1</v>
      </c>
      <c r="H20" s="673">
        <v>1</v>
      </c>
      <c r="I20" s="673">
        <v>1</v>
      </c>
      <c r="J20" s="674">
        <f t="shared" si="1"/>
        <v>7</v>
      </c>
      <c r="K20" s="650">
        <v>329.59</v>
      </c>
      <c r="L20" s="646">
        <f t="shared" si="0"/>
        <v>2307.13</v>
      </c>
    </row>
    <row r="21" spans="1:12" ht="41.4">
      <c r="A21" s="653">
        <v>18</v>
      </c>
      <c r="B21" s="651" t="s">
        <v>123</v>
      </c>
      <c r="C21" s="652" t="s">
        <v>106</v>
      </c>
      <c r="D21" s="671">
        <v>1</v>
      </c>
      <c r="E21" s="671">
        <v>1</v>
      </c>
      <c r="F21" s="671">
        <v>1</v>
      </c>
      <c r="G21" s="671">
        <v>1</v>
      </c>
      <c r="H21" s="671">
        <v>1</v>
      </c>
      <c r="I21" s="671">
        <v>1</v>
      </c>
      <c r="J21" s="711">
        <f t="shared" si="1"/>
        <v>6</v>
      </c>
      <c r="K21" s="650">
        <v>1139.72</v>
      </c>
      <c r="L21" s="646">
        <f t="shared" si="0"/>
        <v>6838.32</v>
      </c>
    </row>
    <row r="22" spans="1:12" ht="27.6">
      <c r="A22" s="649">
        <v>19</v>
      </c>
      <c r="B22" s="647" t="s">
        <v>124</v>
      </c>
      <c r="C22" s="648" t="s">
        <v>106</v>
      </c>
      <c r="D22" s="673">
        <v>51</v>
      </c>
      <c r="E22" s="673">
        <v>10</v>
      </c>
      <c r="F22" s="673">
        <v>12</v>
      </c>
      <c r="G22" s="673">
        <v>12</v>
      </c>
      <c r="H22" s="673">
        <v>2</v>
      </c>
      <c r="I22" s="673">
        <v>10</v>
      </c>
      <c r="J22" s="674">
        <f t="shared" si="1"/>
        <v>97</v>
      </c>
      <c r="K22" s="650">
        <v>29.36</v>
      </c>
      <c r="L22" s="646">
        <f t="shared" si="0"/>
        <v>2847.92</v>
      </c>
    </row>
    <row r="23" spans="1:12" ht="27.6">
      <c r="A23" s="653">
        <v>20</v>
      </c>
      <c r="B23" s="651" t="s">
        <v>125</v>
      </c>
      <c r="C23" s="652" t="s">
        <v>106</v>
      </c>
      <c r="D23" s="671">
        <v>10</v>
      </c>
      <c r="E23" s="671">
        <v>1</v>
      </c>
      <c r="F23" s="671">
        <v>4</v>
      </c>
      <c r="G23" s="671">
        <v>1</v>
      </c>
      <c r="H23" s="671">
        <v>1</v>
      </c>
      <c r="I23" s="671">
        <v>3</v>
      </c>
      <c r="J23" s="711">
        <f t="shared" si="1"/>
        <v>20</v>
      </c>
      <c r="K23" s="650">
        <v>59.4</v>
      </c>
      <c r="L23" s="646">
        <f t="shared" si="0"/>
        <v>1188</v>
      </c>
    </row>
    <row r="24" spans="1:12">
      <c r="A24" s="649">
        <v>21</v>
      </c>
      <c r="B24" s="647" t="s">
        <v>126</v>
      </c>
      <c r="C24" s="648" t="s">
        <v>106</v>
      </c>
      <c r="D24" s="673">
        <v>3</v>
      </c>
      <c r="E24" s="673">
        <v>1</v>
      </c>
      <c r="F24" s="673">
        <v>2</v>
      </c>
      <c r="G24" s="673">
        <v>1</v>
      </c>
      <c r="H24" s="673">
        <v>1</v>
      </c>
      <c r="I24" s="673">
        <v>1</v>
      </c>
      <c r="J24" s="674">
        <f t="shared" si="1"/>
        <v>9</v>
      </c>
      <c r="K24" s="650">
        <v>418.2</v>
      </c>
      <c r="L24" s="646">
        <f t="shared" si="0"/>
        <v>3763.8</v>
      </c>
    </row>
    <row r="25" spans="1:12" ht="41.4">
      <c r="A25" s="653">
        <v>22</v>
      </c>
      <c r="B25" s="651" t="s">
        <v>127</v>
      </c>
      <c r="C25" s="652" t="s">
        <v>106</v>
      </c>
      <c r="D25" s="671">
        <v>6</v>
      </c>
      <c r="E25" s="671">
        <v>2</v>
      </c>
      <c r="F25" s="671">
        <v>3</v>
      </c>
      <c r="G25" s="671">
        <v>2</v>
      </c>
      <c r="H25" s="671">
        <v>1</v>
      </c>
      <c r="I25" s="671">
        <v>1</v>
      </c>
      <c r="J25" s="711">
        <f t="shared" si="1"/>
        <v>15</v>
      </c>
      <c r="K25" s="650">
        <v>38.56</v>
      </c>
      <c r="L25" s="646">
        <f t="shared" si="0"/>
        <v>578.4</v>
      </c>
    </row>
    <row r="26" spans="1:12" ht="27.6">
      <c r="A26" s="658">
        <v>23</v>
      </c>
      <c r="B26" s="659" t="s">
        <v>259</v>
      </c>
      <c r="C26" s="669" t="s">
        <v>106</v>
      </c>
      <c r="D26" s="707">
        <v>1</v>
      </c>
      <c r="E26" s="707">
        <v>1</v>
      </c>
      <c r="F26" s="707">
        <v>1</v>
      </c>
      <c r="G26" s="707">
        <v>1</v>
      </c>
      <c r="H26" s="707">
        <v>0</v>
      </c>
      <c r="I26" s="707">
        <v>1</v>
      </c>
      <c r="J26" s="674">
        <f t="shared" si="1"/>
        <v>5</v>
      </c>
      <c r="K26" s="654">
        <v>642.01</v>
      </c>
      <c r="L26" s="655">
        <f>K26*J26</f>
        <v>3210.05</v>
      </c>
    </row>
    <row r="27" spans="1:12">
      <c r="A27" s="665">
        <v>24</v>
      </c>
      <c r="B27" s="666" t="s">
        <v>128</v>
      </c>
      <c r="C27" s="667" t="s">
        <v>106</v>
      </c>
      <c r="D27" s="672">
        <v>1</v>
      </c>
      <c r="E27" s="672">
        <v>1</v>
      </c>
      <c r="F27" s="672">
        <v>1</v>
      </c>
      <c r="G27" s="672">
        <v>1</v>
      </c>
      <c r="H27" s="672">
        <v>1</v>
      </c>
      <c r="I27" s="672">
        <v>1</v>
      </c>
      <c r="J27" s="711">
        <f t="shared" si="1"/>
        <v>6</v>
      </c>
      <c r="K27" s="654">
        <v>43.39</v>
      </c>
      <c r="L27" s="655">
        <f>TRUNC(K27*J27,2)</f>
        <v>260.33999999999997</v>
      </c>
    </row>
    <row r="28" spans="1:12">
      <c r="A28" s="661">
        <v>25</v>
      </c>
      <c r="B28" s="662" t="s">
        <v>319</v>
      </c>
      <c r="C28" s="663" t="s">
        <v>106</v>
      </c>
      <c r="D28" s="708">
        <v>3</v>
      </c>
      <c r="E28" s="708">
        <v>0</v>
      </c>
      <c r="F28" s="708">
        <v>1</v>
      </c>
      <c r="G28" s="708">
        <v>1</v>
      </c>
      <c r="H28" s="708">
        <v>1</v>
      </c>
      <c r="I28" s="708">
        <v>0</v>
      </c>
      <c r="J28" s="674">
        <f t="shared" si="1"/>
        <v>6</v>
      </c>
      <c r="K28" s="650">
        <v>32.96</v>
      </c>
      <c r="L28" s="646">
        <f>J28*K28</f>
        <v>197.76</v>
      </c>
    </row>
    <row r="29" spans="1:12">
      <c r="A29" s="665">
        <v>26</v>
      </c>
      <c r="B29" s="666" t="s">
        <v>320</v>
      </c>
      <c r="C29" s="667" t="s">
        <v>106</v>
      </c>
      <c r="D29" s="671">
        <v>3</v>
      </c>
      <c r="E29" s="671">
        <v>0</v>
      </c>
      <c r="F29" s="671">
        <v>0</v>
      </c>
      <c r="G29" s="671">
        <v>0</v>
      </c>
      <c r="H29" s="671">
        <v>0</v>
      </c>
      <c r="I29" s="671">
        <v>0</v>
      </c>
      <c r="J29" s="711">
        <f t="shared" si="1"/>
        <v>3</v>
      </c>
      <c r="K29" s="654">
        <v>33.68</v>
      </c>
      <c r="L29" s="655">
        <f>K29*J29</f>
        <v>101.03999999999999</v>
      </c>
    </row>
    <row r="30" spans="1:12">
      <c r="A30" s="657">
        <v>27</v>
      </c>
      <c r="B30" s="660" t="s">
        <v>321</v>
      </c>
      <c r="C30" s="668" t="s">
        <v>106</v>
      </c>
      <c r="D30" s="709">
        <v>3</v>
      </c>
      <c r="E30" s="709">
        <v>0</v>
      </c>
      <c r="F30" s="709">
        <v>1</v>
      </c>
      <c r="G30" s="709">
        <v>1</v>
      </c>
      <c r="H30" s="709">
        <v>1</v>
      </c>
      <c r="I30" s="709">
        <v>1</v>
      </c>
      <c r="J30" s="674">
        <f t="shared" si="1"/>
        <v>7</v>
      </c>
      <c r="K30" s="654">
        <v>29.82</v>
      </c>
      <c r="L30" s="655">
        <f>K30*J30</f>
        <v>208.74</v>
      </c>
    </row>
    <row r="31" spans="1:12">
      <c r="A31" s="665">
        <v>28</v>
      </c>
      <c r="B31" s="666" t="s">
        <v>322</v>
      </c>
      <c r="C31" s="667" t="s">
        <v>106</v>
      </c>
      <c r="D31" s="671">
        <v>2</v>
      </c>
      <c r="E31" s="671">
        <v>1</v>
      </c>
      <c r="F31" s="671">
        <v>1</v>
      </c>
      <c r="G31" s="671">
        <v>1</v>
      </c>
      <c r="H31" s="671">
        <v>1</v>
      </c>
      <c r="I31" s="671">
        <v>1</v>
      </c>
      <c r="J31" s="711">
        <f t="shared" si="1"/>
        <v>7</v>
      </c>
      <c r="K31" s="664">
        <v>13.77</v>
      </c>
      <c r="L31" s="655">
        <f>K31*J31</f>
        <v>96.39</v>
      </c>
    </row>
    <row r="32" spans="1:12" ht="25.2" customHeight="1">
      <c r="A32" s="1273" t="s">
        <v>556</v>
      </c>
      <c r="B32" s="1273"/>
      <c r="C32" s="1273"/>
      <c r="D32" s="1273"/>
      <c r="E32" s="1273"/>
      <c r="F32" s="1273"/>
      <c r="G32" s="1273"/>
      <c r="H32" s="1273"/>
      <c r="I32" s="1273"/>
      <c r="J32" s="1273"/>
      <c r="K32" s="598"/>
      <c r="L32" s="599">
        <f>SUM(L4:L31)</f>
        <v>41195.9</v>
      </c>
    </row>
    <row r="33" spans="1:12" ht="28.8" customHeight="1">
      <c r="A33" s="1270" t="s">
        <v>557</v>
      </c>
      <c r="B33" s="1270"/>
      <c r="C33" s="1270"/>
      <c r="D33" s="1270"/>
      <c r="E33" s="1270"/>
      <c r="F33" s="1270"/>
      <c r="G33" s="1270"/>
      <c r="H33" s="1270"/>
      <c r="I33" s="1270"/>
      <c r="J33" s="1270"/>
      <c r="K33" s="575"/>
      <c r="L33" s="595">
        <f>(L32*0.9)/(12*8)*12</f>
        <v>4634.5387500000006</v>
      </c>
    </row>
    <row r="34" spans="1:12" ht="31.8" customHeight="1">
      <c r="A34" s="1270" t="s">
        <v>561</v>
      </c>
      <c r="B34" s="1270"/>
      <c r="C34" s="1270"/>
      <c r="D34" s="1270"/>
      <c r="E34" s="1270"/>
      <c r="F34" s="1270"/>
      <c r="G34" s="1270"/>
      <c r="H34" s="1270"/>
      <c r="I34" s="1270"/>
      <c r="J34" s="1270"/>
      <c r="K34" s="575"/>
      <c r="L34" s="596">
        <f>L33/12/23</f>
        <v>16.791807065217395</v>
      </c>
    </row>
    <row r="35" spans="1:12" ht="14.4" customHeight="1">
      <c r="A35" s="622" t="s">
        <v>304</v>
      </c>
      <c r="B35" s="622"/>
      <c r="C35" s="622"/>
      <c r="D35" s="622"/>
      <c r="E35" s="622"/>
      <c r="F35" s="622"/>
      <c r="G35" s="622"/>
      <c r="H35" s="622"/>
      <c r="I35" s="622"/>
      <c r="J35" s="622"/>
      <c r="K35" s="623"/>
      <c r="L35" s="624"/>
    </row>
    <row r="36" spans="1:12" ht="22.8" customHeight="1">
      <c r="A36" s="1265" t="s">
        <v>550</v>
      </c>
      <c r="B36" s="1265"/>
      <c r="C36" s="1265"/>
      <c r="D36" s="1265"/>
      <c r="E36" s="1265"/>
      <c r="F36" s="1265"/>
      <c r="G36" s="1265"/>
      <c r="H36" s="1265"/>
      <c r="I36" s="1265"/>
      <c r="J36" s="1265"/>
      <c r="K36" s="623"/>
      <c r="L36" s="624"/>
    </row>
    <row r="37" spans="1:12">
      <c r="A37" s="1271"/>
      <c r="B37" s="1271"/>
      <c r="C37" s="1271"/>
      <c r="D37" s="1271"/>
      <c r="E37" s="1271"/>
      <c r="F37" s="1271"/>
      <c r="G37" s="1271"/>
      <c r="H37" s="1271"/>
      <c r="I37" s="1271"/>
      <c r="J37" s="1271"/>
      <c r="K37" s="1271"/>
      <c r="L37" s="1271"/>
    </row>
    <row r="38" spans="1:12">
      <c r="A38" s="1272"/>
      <c r="B38" s="1272"/>
      <c r="C38" s="1272"/>
      <c r="D38" s="1272"/>
      <c r="E38" s="1272"/>
      <c r="F38" s="1272"/>
      <c r="G38" s="1272"/>
      <c r="H38" s="1272"/>
      <c r="I38" s="1272"/>
      <c r="J38" s="1272"/>
      <c r="K38" s="1272"/>
      <c r="L38" s="1272"/>
    </row>
    <row r="39" spans="1:12">
      <c r="A39" s="104"/>
      <c r="B39" s="625"/>
      <c r="D39" s="104"/>
      <c r="E39" s="104"/>
      <c r="F39" s="104"/>
      <c r="G39" s="104"/>
      <c r="H39" s="104"/>
      <c r="I39" s="104"/>
      <c r="J39" s="104"/>
      <c r="K39" s="626"/>
      <c r="L39" s="627"/>
    </row>
    <row r="40" spans="1:12" ht="15.6">
      <c r="A40" s="1206"/>
      <c r="B40" s="1206"/>
      <c r="C40" s="1206"/>
      <c r="D40" s="1206"/>
      <c r="E40" s="1206"/>
      <c r="F40" s="1206"/>
      <c r="G40" s="1206"/>
      <c r="H40" s="1206"/>
      <c r="I40" s="1206"/>
      <c r="J40" s="1206"/>
      <c r="K40" s="1206"/>
      <c r="L40" s="1206"/>
    </row>
    <row r="41" spans="1:12" ht="15.6">
      <c r="A41" s="1197"/>
      <c r="B41" s="1197"/>
      <c r="C41" s="1197"/>
      <c r="D41" s="1197"/>
      <c r="E41" s="1197"/>
      <c r="F41" s="1197"/>
      <c r="G41" s="1197"/>
      <c r="H41" s="1197"/>
      <c r="I41" s="1197"/>
      <c r="J41" s="1197"/>
      <c r="K41" s="1197"/>
      <c r="L41" s="1197"/>
    </row>
  </sheetData>
  <mergeCells count="15">
    <mergeCell ref="A1:L1"/>
    <mergeCell ref="A34:J34"/>
    <mergeCell ref="K2:L2"/>
    <mergeCell ref="A41:L41"/>
    <mergeCell ref="A36:J36"/>
    <mergeCell ref="A37:L37"/>
    <mergeCell ref="A38:L38"/>
    <mergeCell ref="A40:L40"/>
    <mergeCell ref="A32:J32"/>
    <mergeCell ref="A33:J33"/>
    <mergeCell ref="B2:B3"/>
    <mergeCell ref="C2:C3"/>
    <mergeCell ref="A2:A3"/>
    <mergeCell ref="D2:I2"/>
    <mergeCell ref="J2:J3"/>
  </mergeCells>
  <printOptions horizontalCentered="1" verticalCentered="1"/>
  <pageMargins left="0.19685039370078741" right="0.19685039370078741" top="0.19685039370078741" bottom="0.19685039370078741" header="0" footer="0"/>
  <pageSetup paperSize="9" scale="4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27"/>
  <sheetViews>
    <sheetView showGridLines="0" workbookViewId="0">
      <pane ySplit="3" topLeftCell="A13" activePane="bottomLeft" state="frozen"/>
      <selection pane="bottomLeft" activeCell="L17" sqref="L17"/>
    </sheetView>
  </sheetViews>
  <sheetFormatPr defaultRowHeight="13.2"/>
  <cols>
    <col min="1" max="1" width="6.21875" style="509" customWidth="1"/>
    <col min="2" max="2" width="31.88671875" style="104" customWidth="1"/>
    <col min="3" max="3" width="9.6640625" style="102" customWidth="1"/>
    <col min="4" max="4" width="7.88671875" style="621" customWidth="1"/>
    <col min="5" max="5" width="10.44140625" style="621" customWidth="1"/>
    <col min="6" max="6" width="9.88671875" style="621" customWidth="1"/>
    <col min="7" max="7" width="11.5546875" style="621" customWidth="1"/>
    <col min="8" max="8" width="8" style="509" customWidth="1"/>
    <col min="9" max="9" width="9.44140625" style="515" customWidth="1"/>
    <col min="10" max="10" width="8.88671875" style="516" customWidth="1"/>
    <col min="11" max="16384" width="8.88671875" style="104"/>
  </cols>
  <sheetData>
    <row r="1" spans="1:10" ht="29.4" customHeight="1">
      <c r="A1" s="1279" t="s">
        <v>593</v>
      </c>
      <c r="B1" s="1279"/>
      <c r="C1" s="1279"/>
      <c r="D1" s="1279"/>
      <c r="E1" s="1279"/>
      <c r="F1" s="1279"/>
      <c r="G1" s="1279"/>
      <c r="H1" s="1279"/>
      <c r="I1" s="1279"/>
      <c r="J1" s="1279"/>
    </row>
    <row r="2" spans="1:10" ht="25.2" customHeight="1">
      <c r="A2" s="1283" t="s">
        <v>0</v>
      </c>
      <c r="B2" s="1283" t="s">
        <v>1</v>
      </c>
      <c r="C2" s="1283" t="s">
        <v>100</v>
      </c>
      <c r="D2" s="1286" t="s">
        <v>586</v>
      </c>
      <c r="E2" s="1287"/>
      <c r="F2" s="1287"/>
      <c r="G2" s="1288"/>
      <c r="H2" s="1289" t="s">
        <v>104</v>
      </c>
      <c r="I2" s="1284" t="s">
        <v>573</v>
      </c>
      <c r="J2" s="1285"/>
    </row>
    <row r="3" spans="1:10" ht="32.4" customHeight="1">
      <c r="A3" s="1283"/>
      <c r="B3" s="1283"/>
      <c r="C3" s="1283"/>
      <c r="D3" s="712" t="s">
        <v>129</v>
      </c>
      <c r="E3" s="611" t="s">
        <v>130</v>
      </c>
      <c r="F3" s="611" t="s">
        <v>101</v>
      </c>
      <c r="G3" s="713" t="s">
        <v>102</v>
      </c>
      <c r="H3" s="1289"/>
      <c r="I3" s="567" t="s">
        <v>467</v>
      </c>
      <c r="J3" s="508" t="s">
        <v>104</v>
      </c>
    </row>
    <row r="4" spans="1:10" ht="39.6">
      <c r="A4" s="545">
        <v>1</v>
      </c>
      <c r="B4" s="546" t="s">
        <v>562</v>
      </c>
      <c r="C4" s="601" t="s">
        <v>493</v>
      </c>
      <c r="D4" s="728">
        <v>42</v>
      </c>
      <c r="E4" s="728">
        <v>20</v>
      </c>
      <c r="F4" s="728">
        <v>28</v>
      </c>
      <c r="G4" s="728">
        <v>28</v>
      </c>
      <c r="H4" s="547">
        <f t="shared" ref="H4:H17" si="0">SUM(D4:G4)</f>
        <v>118</v>
      </c>
      <c r="I4" s="563">
        <v>14.85</v>
      </c>
      <c r="J4" s="564">
        <f t="shared" ref="J4:J17" si="1">H4*I4</f>
        <v>1752.3</v>
      </c>
    </row>
    <row r="5" spans="1:10" s="512" customFormat="1" ht="66">
      <c r="A5" s="552">
        <v>2</v>
      </c>
      <c r="B5" s="548" t="s">
        <v>563</v>
      </c>
      <c r="C5" s="549" t="s">
        <v>571</v>
      </c>
      <c r="D5" s="727">
        <v>6</v>
      </c>
      <c r="E5" s="727">
        <v>3</v>
      </c>
      <c r="F5" s="727">
        <v>6</v>
      </c>
      <c r="G5" s="727">
        <v>6</v>
      </c>
      <c r="H5" s="553">
        <f t="shared" si="0"/>
        <v>21</v>
      </c>
      <c r="I5" s="563">
        <v>38.28</v>
      </c>
      <c r="J5" s="564">
        <f t="shared" si="1"/>
        <v>803.88</v>
      </c>
    </row>
    <row r="6" spans="1:10" ht="66">
      <c r="A6" s="545">
        <v>3</v>
      </c>
      <c r="B6" s="546" t="s">
        <v>474</v>
      </c>
      <c r="C6" s="517" t="s">
        <v>106</v>
      </c>
      <c r="D6" s="714">
        <v>1</v>
      </c>
      <c r="E6" s="714">
        <v>1</v>
      </c>
      <c r="F6" s="714">
        <v>1</v>
      </c>
      <c r="G6" s="714">
        <v>1</v>
      </c>
      <c r="H6" s="597">
        <f t="shared" si="0"/>
        <v>4</v>
      </c>
      <c r="I6" s="563">
        <v>13</v>
      </c>
      <c r="J6" s="564">
        <f t="shared" si="1"/>
        <v>52</v>
      </c>
    </row>
    <row r="7" spans="1:10" ht="52.8">
      <c r="A7" s="558">
        <v>4</v>
      </c>
      <c r="B7" s="559" t="s">
        <v>564</v>
      </c>
      <c r="C7" s="503" t="s">
        <v>471</v>
      </c>
      <c r="D7" s="727">
        <v>15</v>
      </c>
      <c r="E7" s="727">
        <v>15</v>
      </c>
      <c r="F7" s="727">
        <v>0</v>
      </c>
      <c r="G7" s="727">
        <v>15</v>
      </c>
      <c r="H7" s="560">
        <f t="shared" si="0"/>
        <v>45</v>
      </c>
      <c r="I7" s="563">
        <v>35</v>
      </c>
      <c r="J7" s="564">
        <f t="shared" si="1"/>
        <v>1575</v>
      </c>
    </row>
    <row r="8" spans="1:10" ht="39.6">
      <c r="A8" s="555">
        <v>5</v>
      </c>
      <c r="B8" s="554" t="s">
        <v>494</v>
      </c>
      <c r="C8" s="556" t="s">
        <v>471</v>
      </c>
      <c r="D8" s="729">
        <v>0</v>
      </c>
      <c r="E8" s="729">
        <v>12</v>
      </c>
      <c r="F8" s="729">
        <v>24</v>
      </c>
      <c r="G8" s="729">
        <v>24</v>
      </c>
      <c r="H8" s="557">
        <f t="shared" si="0"/>
        <v>60</v>
      </c>
      <c r="I8" s="563">
        <v>8</v>
      </c>
      <c r="J8" s="564">
        <f t="shared" si="1"/>
        <v>480</v>
      </c>
    </row>
    <row r="9" spans="1:10" ht="26.4">
      <c r="A9" s="552">
        <v>6</v>
      </c>
      <c r="B9" s="548" t="s">
        <v>495</v>
      </c>
      <c r="C9" s="549" t="s">
        <v>106</v>
      </c>
      <c r="D9" s="730">
        <v>0</v>
      </c>
      <c r="E9" s="730">
        <v>6</v>
      </c>
      <c r="F9" s="730">
        <v>6</v>
      </c>
      <c r="G9" s="730">
        <v>6</v>
      </c>
      <c r="H9" s="553">
        <f t="shared" si="0"/>
        <v>18</v>
      </c>
      <c r="I9" s="563">
        <v>10.5</v>
      </c>
      <c r="J9" s="564">
        <f t="shared" si="1"/>
        <v>189</v>
      </c>
    </row>
    <row r="10" spans="1:10" ht="26.4">
      <c r="A10" s="545">
        <v>7</v>
      </c>
      <c r="B10" s="550" t="s">
        <v>496</v>
      </c>
      <c r="C10" s="551" t="s">
        <v>106</v>
      </c>
      <c r="D10" s="714">
        <v>32</v>
      </c>
      <c r="E10" s="714">
        <v>20</v>
      </c>
      <c r="F10" s="714">
        <v>20</v>
      </c>
      <c r="G10" s="714">
        <v>20</v>
      </c>
      <c r="H10" s="547">
        <f t="shared" si="0"/>
        <v>92</v>
      </c>
      <c r="I10" s="563">
        <v>3.75</v>
      </c>
      <c r="J10" s="564">
        <f t="shared" si="1"/>
        <v>345</v>
      </c>
    </row>
    <row r="11" spans="1:10">
      <c r="A11" s="552">
        <v>8</v>
      </c>
      <c r="B11" s="548" t="s">
        <v>497</v>
      </c>
      <c r="C11" s="549" t="s">
        <v>492</v>
      </c>
      <c r="D11" s="510">
        <v>0</v>
      </c>
      <c r="E11" s="510">
        <v>12</v>
      </c>
      <c r="F11" s="510">
        <v>12</v>
      </c>
      <c r="G11" s="510">
        <v>12</v>
      </c>
      <c r="H11" s="553">
        <f t="shared" si="0"/>
        <v>36</v>
      </c>
      <c r="I11" s="563">
        <v>2.9</v>
      </c>
      <c r="J11" s="564">
        <f t="shared" si="1"/>
        <v>104.39999999999999</v>
      </c>
    </row>
    <row r="12" spans="1:10" ht="26.4">
      <c r="A12" s="545">
        <v>9</v>
      </c>
      <c r="B12" s="554" t="s">
        <v>498</v>
      </c>
      <c r="C12" s="551" t="s">
        <v>492</v>
      </c>
      <c r="D12" s="714">
        <v>0</v>
      </c>
      <c r="E12" s="714">
        <v>0</v>
      </c>
      <c r="F12" s="714">
        <v>1</v>
      </c>
      <c r="G12" s="714">
        <v>1</v>
      </c>
      <c r="H12" s="547">
        <f t="shared" si="0"/>
        <v>2</v>
      </c>
      <c r="I12" s="563">
        <v>50</v>
      </c>
      <c r="J12" s="564">
        <f t="shared" si="1"/>
        <v>100</v>
      </c>
    </row>
    <row r="13" spans="1:10" ht="79.2">
      <c r="A13" s="552">
        <v>10</v>
      </c>
      <c r="B13" s="548" t="s">
        <v>499</v>
      </c>
      <c r="C13" s="549" t="s">
        <v>500</v>
      </c>
      <c r="D13" s="510">
        <v>42</v>
      </c>
      <c r="E13" s="510">
        <v>4</v>
      </c>
      <c r="F13" s="510">
        <v>20</v>
      </c>
      <c r="G13" s="510">
        <v>20</v>
      </c>
      <c r="H13" s="553">
        <f t="shared" si="0"/>
        <v>86</v>
      </c>
      <c r="I13" s="563">
        <v>14.85</v>
      </c>
      <c r="J13" s="564">
        <f t="shared" si="1"/>
        <v>1277.0999999999999</v>
      </c>
    </row>
    <row r="14" spans="1:10" ht="92.4">
      <c r="A14" s="545">
        <v>11</v>
      </c>
      <c r="B14" s="550" t="s">
        <v>501</v>
      </c>
      <c r="C14" s="551" t="s">
        <v>482</v>
      </c>
      <c r="D14" s="714">
        <v>12</v>
      </c>
      <c r="E14" s="714">
        <v>12</v>
      </c>
      <c r="F14" s="714">
        <v>12</v>
      </c>
      <c r="G14" s="714">
        <v>12</v>
      </c>
      <c r="H14" s="547">
        <f t="shared" si="0"/>
        <v>48</v>
      </c>
      <c r="I14" s="563">
        <v>5.48</v>
      </c>
      <c r="J14" s="564">
        <f t="shared" si="1"/>
        <v>263.04000000000002</v>
      </c>
    </row>
    <row r="15" spans="1:10" ht="39.6">
      <c r="A15" s="558">
        <v>12</v>
      </c>
      <c r="B15" s="559" t="s">
        <v>548</v>
      </c>
      <c r="C15" s="641" t="s">
        <v>106</v>
      </c>
      <c r="D15" s="561">
        <v>24</v>
      </c>
      <c r="E15" s="561">
        <v>24</v>
      </c>
      <c r="F15" s="561">
        <v>24</v>
      </c>
      <c r="G15" s="561">
        <v>24</v>
      </c>
      <c r="H15" s="560">
        <f t="shared" si="0"/>
        <v>96</v>
      </c>
      <c r="I15" s="563">
        <v>4.93</v>
      </c>
      <c r="J15" s="564">
        <f t="shared" si="1"/>
        <v>473.28</v>
      </c>
    </row>
    <row r="16" spans="1:10" ht="79.2">
      <c r="A16" s="555">
        <v>13</v>
      </c>
      <c r="B16" s="715" t="s">
        <v>502</v>
      </c>
      <c r="C16" s="716" t="s">
        <v>471</v>
      </c>
      <c r="D16" s="562">
        <v>220</v>
      </c>
      <c r="E16" s="562">
        <v>50</v>
      </c>
      <c r="F16" s="562">
        <v>120</v>
      </c>
      <c r="G16" s="562">
        <v>120</v>
      </c>
      <c r="H16" s="557">
        <f t="shared" si="0"/>
        <v>510</v>
      </c>
      <c r="I16" s="563">
        <v>14.5</v>
      </c>
      <c r="J16" s="564">
        <f t="shared" si="1"/>
        <v>7395</v>
      </c>
    </row>
    <row r="17" spans="1:14" ht="26.4">
      <c r="A17" s="717">
        <v>14</v>
      </c>
      <c r="B17" s="718" t="s">
        <v>503</v>
      </c>
      <c r="C17" s="719" t="s">
        <v>471</v>
      </c>
      <c r="D17" s="720">
        <v>0</v>
      </c>
      <c r="E17" s="731">
        <v>12</v>
      </c>
      <c r="F17" s="731">
        <v>12</v>
      </c>
      <c r="G17" s="731">
        <v>12</v>
      </c>
      <c r="H17" s="721">
        <f t="shared" si="0"/>
        <v>36</v>
      </c>
      <c r="I17" s="577">
        <v>13.32</v>
      </c>
      <c r="J17" s="564">
        <f t="shared" si="1"/>
        <v>479.52</v>
      </c>
    </row>
    <row r="18" spans="1:14" ht="19.95" customHeight="1">
      <c r="A18" s="1282" t="s">
        <v>555</v>
      </c>
      <c r="B18" s="1282"/>
      <c r="C18" s="1282"/>
      <c r="D18" s="1282"/>
      <c r="E18" s="1282"/>
      <c r="F18" s="1282"/>
      <c r="G18" s="1282"/>
      <c r="H18" s="1282"/>
      <c r="I18" s="578"/>
      <c r="J18" s="564">
        <f>SUM(J4:J17)</f>
        <v>15289.52</v>
      </c>
    </row>
    <row r="19" spans="1:14" ht="15" customHeight="1">
      <c r="A19" s="1290" t="s">
        <v>504</v>
      </c>
      <c r="B19" s="1290"/>
      <c r="C19" s="1290"/>
      <c r="D19" s="1290"/>
      <c r="E19" s="1290"/>
      <c r="F19" s="1290"/>
      <c r="G19" s="1290"/>
      <c r="H19" s="1290"/>
      <c r="I19" s="579"/>
      <c r="J19" s="594">
        <f>J18/12</f>
        <v>1274.1266666666668</v>
      </c>
    </row>
    <row r="20" spans="1:14" ht="19.95" customHeight="1">
      <c r="A20" s="1282" t="s">
        <v>574</v>
      </c>
      <c r="B20" s="1282"/>
      <c r="C20" s="1282"/>
      <c r="D20" s="1282"/>
      <c r="E20" s="1282"/>
      <c r="F20" s="1282"/>
      <c r="G20" s="1282"/>
      <c r="H20" s="1282"/>
      <c r="I20" s="578"/>
      <c r="J20" s="594">
        <f>J19/4</f>
        <v>318.53166666666669</v>
      </c>
    </row>
    <row r="21" spans="1:14" s="678" customFormat="1" ht="15" customHeight="1">
      <c r="A21" s="677" t="s">
        <v>549</v>
      </c>
      <c r="B21" s="677"/>
      <c r="C21" s="677"/>
      <c r="D21" s="677"/>
      <c r="E21" s="677"/>
      <c r="F21" s="677"/>
      <c r="G21" s="677"/>
      <c r="H21" s="677"/>
      <c r="I21" s="677"/>
      <c r="J21" s="677"/>
    </row>
    <row r="22" spans="1:14" ht="15" customHeight="1">
      <c r="A22" s="630"/>
      <c r="B22" s="630"/>
      <c r="C22" s="630"/>
      <c r="D22" s="630"/>
      <c r="E22" s="630"/>
      <c r="F22" s="630"/>
      <c r="G22" s="630"/>
      <c r="H22" s="630"/>
      <c r="I22" s="630"/>
      <c r="J22" s="630"/>
    </row>
    <row r="23" spans="1:14" ht="15" customHeight="1">
      <c r="A23" s="1280"/>
      <c r="B23" s="1280"/>
      <c r="C23" s="1280"/>
      <c r="D23" s="1280"/>
      <c r="E23" s="1280"/>
      <c r="F23" s="1280"/>
      <c r="G23" s="1280"/>
      <c r="H23" s="1280"/>
      <c r="I23" s="1280"/>
      <c r="J23" s="1280"/>
    </row>
    <row r="24" spans="1:14" ht="15" customHeight="1">
      <c r="A24" s="1281"/>
      <c r="B24" s="1281"/>
      <c r="C24" s="1281"/>
      <c r="D24" s="1281"/>
      <c r="E24" s="1281"/>
      <c r="F24" s="1281"/>
      <c r="G24" s="1281"/>
      <c r="H24" s="1281"/>
      <c r="I24" s="1281"/>
      <c r="J24" s="1281"/>
    </row>
    <row r="27" spans="1:14" ht="15.6">
      <c r="A27" s="1278"/>
      <c r="B27" s="1278"/>
      <c r="C27" s="1278"/>
      <c r="D27" s="1278"/>
      <c r="E27" s="1278"/>
      <c r="F27" s="1278"/>
      <c r="G27" s="1278"/>
      <c r="H27" s="1278"/>
      <c r="I27" s="1278"/>
      <c r="J27" s="1278"/>
      <c r="K27" s="1278"/>
      <c r="L27" s="1278"/>
      <c r="M27" s="1278"/>
      <c r="N27" s="1278"/>
    </row>
  </sheetData>
  <mergeCells count="13">
    <mergeCell ref="A27:N27"/>
    <mergeCell ref="A1:J1"/>
    <mergeCell ref="A23:J23"/>
    <mergeCell ref="A24:J24"/>
    <mergeCell ref="A18:H18"/>
    <mergeCell ref="A2:A3"/>
    <mergeCell ref="B2:B3"/>
    <mergeCell ref="C2:C3"/>
    <mergeCell ref="I2:J2"/>
    <mergeCell ref="D2:G2"/>
    <mergeCell ref="H2:H3"/>
    <mergeCell ref="A19:H19"/>
    <mergeCell ref="A20:H20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12"/>
  <sheetViews>
    <sheetView showGridLines="0" workbookViewId="0">
      <selection activeCell="F5" sqref="F5"/>
    </sheetView>
  </sheetViews>
  <sheetFormatPr defaultColWidth="11.5546875" defaultRowHeight="14.25" customHeight="1"/>
  <cols>
    <col min="1" max="1" width="124.6640625" style="290" customWidth="1"/>
    <col min="2" max="256" width="11.5546875" style="290"/>
    <col min="257" max="257" width="113.5546875" style="290" customWidth="1"/>
    <col min="258" max="512" width="11.5546875" style="290"/>
    <col min="513" max="513" width="113.5546875" style="290" customWidth="1"/>
    <col min="514" max="768" width="11.5546875" style="290"/>
    <col min="769" max="769" width="113.5546875" style="290" customWidth="1"/>
    <col min="770" max="1024" width="11.5546875" style="290"/>
    <col min="1025" max="1025" width="113.5546875" style="290" customWidth="1"/>
    <col min="1026" max="1280" width="11.5546875" style="290"/>
    <col min="1281" max="1281" width="113.5546875" style="290" customWidth="1"/>
    <col min="1282" max="1536" width="11.5546875" style="290"/>
    <col min="1537" max="1537" width="113.5546875" style="290" customWidth="1"/>
    <col min="1538" max="1792" width="11.5546875" style="290"/>
    <col min="1793" max="1793" width="113.5546875" style="290" customWidth="1"/>
    <col min="1794" max="2048" width="11.5546875" style="290"/>
    <col min="2049" max="2049" width="113.5546875" style="290" customWidth="1"/>
    <col min="2050" max="2304" width="11.5546875" style="290"/>
    <col min="2305" max="2305" width="113.5546875" style="290" customWidth="1"/>
    <col min="2306" max="2560" width="11.5546875" style="290"/>
    <col min="2561" max="2561" width="113.5546875" style="290" customWidth="1"/>
    <col min="2562" max="2816" width="11.5546875" style="290"/>
    <col min="2817" max="2817" width="113.5546875" style="290" customWidth="1"/>
    <col min="2818" max="3072" width="11.5546875" style="290"/>
    <col min="3073" max="3073" width="113.5546875" style="290" customWidth="1"/>
    <col min="3074" max="3328" width="11.5546875" style="290"/>
    <col min="3329" max="3329" width="113.5546875" style="290" customWidth="1"/>
    <col min="3330" max="3584" width="11.5546875" style="290"/>
    <col min="3585" max="3585" width="113.5546875" style="290" customWidth="1"/>
    <col min="3586" max="3840" width="11.5546875" style="290"/>
    <col min="3841" max="3841" width="113.5546875" style="290" customWidth="1"/>
    <col min="3842" max="4096" width="11.5546875" style="290"/>
    <col min="4097" max="4097" width="113.5546875" style="290" customWidth="1"/>
    <col min="4098" max="4352" width="11.5546875" style="290"/>
    <col min="4353" max="4353" width="113.5546875" style="290" customWidth="1"/>
    <col min="4354" max="4608" width="11.5546875" style="290"/>
    <col min="4609" max="4609" width="113.5546875" style="290" customWidth="1"/>
    <col min="4610" max="4864" width="11.5546875" style="290"/>
    <col min="4865" max="4865" width="113.5546875" style="290" customWidth="1"/>
    <col min="4866" max="5120" width="11.5546875" style="290"/>
    <col min="5121" max="5121" width="113.5546875" style="290" customWidth="1"/>
    <col min="5122" max="5376" width="11.5546875" style="290"/>
    <col min="5377" max="5377" width="113.5546875" style="290" customWidth="1"/>
    <col min="5378" max="5632" width="11.5546875" style="290"/>
    <col min="5633" max="5633" width="113.5546875" style="290" customWidth="1"/>
    <col min="5634" max="5888" width="11.5546875" style="290"/>
    <col min="5889" max="5889" width="113.5546875" style="290" customWidth="1"/>
    <col min="5890" max="6144" width="11.5546875" style="290"/>
    <col min="6145" max="6145" width="113.5546875" style="290" customWidth="1"/>
    <col min="6146" max="6400" width="11.5546875" style="290"/>
    <col min="6401" max="6401" width="113.5546875" style="290" customWidth="1"/>
    <col min="6402" max="6656" width="11.5546875" style="290"/>
    <col min="6657" max="6657" width="113.5546875" style="290" customWidth="1"/>
    <col min="6658" max="6912" width="11.5546875" style="290"/>
    <col min="6913" max="6913" width="113.5546875" style="290" customWidth="1"/>
    <col min="6914" max="7168" width="11.5546875" style="290"/>
    <col min="7169" max="7169" width="113.5546875" style="290" customWidth="1"/>
    <col min="7170" max="7424" width="11.5546875" style="290"/>
    <col min="7425" max="7425" width="113.5546875" style="290" customWidth="1"/>
    <col min="7426" max="7680" width="11.5546875" style="290"/>
    <col min="7681" max="7681" width="113.5546875" style="290" customWidth="1"/>
    <col min="7682" max="7936" width="11.5546875" style="290"/>
    <col min="7937" max="7937" width="113.5546875" style="290" customWidth="1"/>
    <col min="7938" max="8192" width="11.5546875" style="290"/>
    <col min="8193" max="8193" width="113.5546875" style="290" customWidth="1"/>
    <col min="8194" max="8448" width="11.5546875" style="290"/>
    <col min="8449" max="8449" width="113.5546875" style="290" customWidth="1"/>
    <col min="8450" max="8704" width="11.5546875" style="290"/>
    <col min="8705" max="8705" width="113.5546875" style="290" customWidth="1"/>
    <col min="8706" max="8960" width="11.5546875" style="290"/>
    <col min="8961" max="8961" width="113.5546875" style="290" customWidth="1"/>
    <col min="8962" max="9216" width="11.5546875" style="290"/>
    <col min="9217" max="9217" width="113.5546875" style="290" customWidth="1"/>
    <col min="9218" max="9472" width="11.5546875" style="290"/>
    <col min="9473" max="9473" width="113.5546875" style="290" customWidth="1"/>
    <col min="9474" max="9728" width="11.5546875" style="290"/>
    <col min="9729" max="9729" width="113.5546875" style="290" customWidth="1"/>
    <col min="9730" max="9984" width="11.5546875" style="290"/>
    <col min="9985" max="9985" width="113.5546875" style="290" customWidth="1"/>
    <col min="9986" max="10240" width="11.5546875" style="290"/>
    <col min="10241" max="10241" width="113.5546875" style="290" customWidth="1"/>
    <col min="10242" max="10496" width="11.5546875" style="290"/>
    <col min="10497" max="10497" width="113.5546875" style="290" customWidth="1"/>
    <col min="10498" max="10752" width="11.5546875" style="290"/>
    <col min="10753" max="10753" width="113.5546875" style="290" customWidth="1"/>
    <col min="10754" max="11008" width="11.5546875" style="290"/>
    <col min="11009" max="11009" width="113.5546875" style="290" customWidth="1"/>
    <col min="11010" max="11264" width="11.5546875" style="290"/>
    <col min="11265" max="11265" width="113.5546875" style="290" customWidth="1"/>
    <col min="11266" max="11520" width="11.5546875" style="290"/>
    <col min="11521" max="11521" width="113.5546875" style="290" customWidth="1"/>
    <col min="11522" max="11776" width="11.5546875" style="290"/>
    <col min="11777" max="11777" width="113.5546875" style="290" customWidth="1"/>
    <col min="11778" max="12032" width="11.5546875" style="290"/>
    <col min="12033" max="12033" width="113.5546875" style="290" customWidth="1"/>
    <col min="12034" max="12288" width="11.5546875" style="290"/>
    <col min="12289" max="12289" width="113.5546875" style="290" customWidth="1"/>
    <col min="12290" max="12544" width="11.5546875" style="290"/>
    <col min="12545" max="12545" width="113.5546875" style="290" customWidth="1"/>
    <col min="12546" max="12800" width="11.5546875" style="290"/>
    <col min="12801" max="12801" width="113.5546875" style="290" customWidth="1"/>
    <col min="12802" max="13056" width="11.5546875" style="290"/>
    <col min="13057" max="13057" width="113.5546875" style="290" customWidth="1"/>
    <col min="13058" max="13312" width="11.5546875" style="290"/>
    <col min="13313" max="13313" width="113.5546875" style="290" customWidth="1"/>
    <col min="13314" max="13568" width="11.5546875" style="290"/>
    <col min="13569" max="13569" width="113.5546875" style="290" customWidth="1"/>
    <col min="13570" max="13824" width="11.5546875" style="290"/>
    <col min="13825" max="13825" width="113.5546875" style="290" customWidth="1"/>
    <col min="13826" max="14080" width="11.5546875" style="290"/>
    <col min="14081" max="14081" width="113.5546875" style="290" customWidth="1"/>
    <col min="14082" max="14336" width="11.5546875" style="290"/>
    <col min="14337" max="14337" width="113.5546875" style="290" customWidth="1"/>
    <col min="14338" max="14592" width="11.5546875" style="290"/>
    <col min="14593" max="14593" width="113.5546875" style="290" customWidth="1"/>
    <col min="14594" max="14848" width="11.5546875" style="290"/>
    <col min="14849" max="14849" width="113.5546875" style="290" customWidth="1"/>
    <col min="14850" max="15104" width="11.5546875" style="290"/>
    <col min="15105" max="15105" width="113.5546875" style="290" customWidth="1"/>
    <col min="15106" max="15360" width="11.5546875" style="290"/>
    <col min="15361" max="15361" width="113.5546875" style="290" customWidth="1"/>
    <col min="15362" max="15616" width="11.5546875" style="290"/>
    <col min="15617" max="15617" width="113.5546875" style="290" customWidth="1"/>
    <col min="15618" max="15872" width="11.5546875" style="290"/>
    <col min="15873" max="15873" width="113.5546875" style="290" customWidth="1"/>
    <col min="15874" max="16128" width="11.5546875" style="290"/>
    <col min="16129" max="16129" width="113.5546875" style="290" customWidth="1"/>
    <col min="16130" max="16384" width="11.5546875" style="290"/>
  </cols>
  <sheetData>
    <row r="1" spans="1:1" ht="25.35" customHeight="1">
      <c r="A1" s="292" t="s">
        <v>436</v>
      </c>
    </row>
    <row r="2" spans="1:1" s="291" customFormat="1" ht="26.4" customHeight="1">
      <c r="A2" s="293" t="s">
        <v>437</v>
      </c>
    </row>
    <row r="3" spans="1:1" s="291" customFormat="1" ht="76.2" customHeight="1">
      <c r="A3" s="295" t="s">
        <v>617</v>
      </c>
    </row>
    <row r="4" spans="1:1" s="291" customFormat="1" ht="55.2" customHeight="1">
      <c r="A4" s="295" t="s">
        <v>445</v>
      </c>
    </row>
    <row r="5" spans="1:1" s="291" customFormat="1" ht="174.6" customHeight="1">
      <c r="A5" s="294" t="s">
        <v>616</v>
      </c>
    </row>
    <row r="6" spans="1:1" s="291" customFormat="1" ht="72.599999999999994" customHeight="1">
      <c r="A6" s="766" t="s">
        <v>623</v>
      </c>
    </row>
    <row r="7" spans="1:1" s="291" customFormat="1" ht="85.2" customHeight="1">
      <c r="A7" s="765" t="s">
        <v>618</v>
      </c>
    </row>
    <row r="8" spans="1:1" s="291" customFormat="1" ht="33.6" customHeight="1">
      <c r="A8" s="295" t="s">
        <v>446</v>
      </c>
    </row>
    <row r="9" spans="1:1" s="291" customFormat="1" ht="69.599999999999994" customHeight="1">
      <c r="A9" s="295" t="s">
        <v>619</v>
      </c>
    </row>
    <row r="10" spans="1:1" s="291" customFormat="1" ht="30.6" customHeight="1">
      <c r="A10" s="295" t="s">
        <v>620</v>
      </c>
    </row>
    <row r="11" spans="1:1" s="291" customFormat="1" ht="100.2" customHeight="1">
      <c r="A11" s="295" t="s">
        <v>621</v>
      </c>
    </row>
    <row r="12" spans="1:1" ht="58.2" customHeight="1">
      <c r="A12" s="295" t="s">
        <v>622</v>
      </c>
    </row>
  </sheetData>
  <printOptions horizontalCentered="1" verticalCentered="1"/>
  <pageMargins left="0.25" right="0.25" top="0.75" bottom="0.75" header="0.3" footer="0.3"/>
  <pageSetup paperSize="9" firstPageNumber="0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MA56"/>
  <sheetViews>
    <sheetView showGridLines="0" zoomScale="90" zoomScaleNormal="90" workbookViewId="0">
      <selection activeCell="O12" sqref="O12"/>
    </sheetView>
  </sheetViews>
  <sheetFormatPr defaultRowHeight="14.4"/>
  <cols>
    <col min="1" max="1" width="5.44140625" style="81" customWidth="1"/>
    <col min="2" max="2" width="43.88671875" style="81" customWidth="1"/>
    <col min="3" max="3" width="9.33203125" style="81" customWidth="1"/>
    <col min="4" max="4" width="10.109375" style="81" customWidth="1"/>
    <col min="5" max="5" width="11.109375" style="81" customWidth="1"/>
    <col min="6" max="6" width="10.6640625" style="81" customWidth="1"/>
    <col min="7" max="7" width="10.88671875" style="81" customWidth="1"/>
    <col min="8" max="8" width="9.88671875" style="104" customWidth="1"/>
    <col min="9" max="9" width="10.5546875" style="507" customWidth="1"/>
    <col min="10" max="10" width="11.5546875" style="507" customWidth="1"/>
    <col min="11" max="11" width="10.5546875" style="507" customWidth="1"/>
    <col min="12" max="12" width="10.77734375" style="507" customWidth="1"/>
    <col min="13" max="13" width="10.5546875" style="507" customWidth="1"/>
    <col min="14" max="14" width="10.88671875" style="507" customWidth="1"/>
    <col min="15" max="15" width="10.5546875" style="507" customWidth="1"/>
    <col min="16" max="16" width="12.77734375" style="507" customWidth="1"/>
    <col min="17" max="1015" width="8.6640625" style="81" customWidth="1"/>
  </cols>
  <sheetData>
    <row r="1" spans="1:16" ht="31.2" customHeight="1">
      <c r="A1" s="1244" t="s">
        <v>588</v>
      </c>
      <c r="B1" s="1244"/>
      <c r="C1" s="1244"/>
      <c r="D1" s="1244"/>
      <c r="E1" s="1244"/>
      <c r="F1" s="1244"/>
      <c r="G1" s="1244"/>
      <c r="H1" s="1244"/>
      <c r="I1" s="1244"/>
      <c r="J1" s="1244"/>
    </row>
    <row r="2" spans="1:16" ht="24.6" customHeight="1">
      <c r="A2" s="1293" t="s">
        <v>0</v>
      </c>
      <c r="B2" s="1293" t="s">
        <v>1</v>
      </c>
      <c r="C2" s="1293" t="s">
        <v>100</v>
      </c>
      <c r="D2" s="1294" t="s">
        <v>586</v>
      </c>
      <c r="E2" s="1294"/>
      <c r="F2" s="1294"/>
      <c r="G2" s="1294"/>
      <c r="H2" s="1295" t="s">
        <v>104</v>
      </c>
      <c r="I2" s="1284" t="s">
        <v>573</v>
      </c>
      <c r="J2" s="1285"/>
      <c r="K2"/>
      <c r="L2"/>
      <c r="M2"/>
      <c r="N2"/>
      <c r="O2"/>
      <c r="P2"/>
    </row>
    <row r="3" spans="1:16" ht="33.6" customHeight="1">
      <c r="A3" s="1293"/>
      <c r="B3" s="1293"/>
      <c r="C3" s="1293"/>
      <c r="D3" s="723" t="s">
        <v>129</v>
      </c>
      <c r="E3" s="723" t="s">
        <v>130</v>
      </c>
      <c r="F3" s="723" t="s">
        <v>101</v>
      </c>
      <c r="G3" s="723" t="s">
        <v>102</v>
      </c>
      <c r="H3" s="1295"/>
      <c r="I3" s="567" t="s">
        <v>467</v>
      </c>
      <c r="J3" s="508" t="s">
        <v>104</v>
      </c>
      <c r="K3"/>
      <c r="L3"/>
      <c r="M3"/>
      <c r="N3"/>
      <c r="O3"/>
      <c r="P3"/>
    </row>
    <row r="4" spans="1:16" ht="18" customHeight="1">
      <c r="A4" s="673">
        <v>1</v>
      </c>
      <c r="B4" s="647" t="s">
        <v>131</v>
      </c>
      <c r="C4" s="648" t="s">
        <v>106</v>
      </c>
      <c r="D4" s="673">
        <v>1</v>
      </c>
      <c r="E4" s="673">
        <v>1</v>
      </c>
      <c r="F4" s="673">
        <v>1</v>
      </c>
      <c r="G4" s="673">
        <v>1</v>
      </c>
      <c r="H4" s="722">
        <f>SUM(D4:G4)</f>
        <v>4</v>
      </c>
      <c r="I4" s="650">
        <v>354.95</v>
      </c>
      <c r="J4" s="670">
        <f>TRUNC(I4*H4,2)</f>
        <v>1419.8</v>
      </c>
      <c r="K4"/>
      <c r="L4"/>
      <c r="M4"/>
      <c r="N4"/>
      <c r="O4"/>
      <c r="P4"/>
    </row>
    <row r="5" spans="1:16" ht="18" customHeight="1">
      <c r="A5" s="671">
        <v>2</v>
      </c>
      <c r="B5" s="651" t="s">
        <v>132</v>
      </c>
      <c r="C5" s="652" t="s">
        <v>106</v>
      </c>
      <c r="D5" s="671">
        <v>1</v>
      </c>
      <c r="E5" s="671">
        <v>1</v>
      </c>
      <c r="F5" s="671">
        <v>1</v>
      </c>
      <c r="G5" s="671">
        <v>1</v>
      </c>
      <c r="H5" s="722">
        <f t="shared" ref="H5" si="0">SUM(D5:G5)</f>
        <v>4</v>
      </c>
      <c r="I5" s="650">
        <v>476.28</v>
      </c>
      <c r="J5" s="670">
        <f>TRUNC(I5*H5,2)</f>
        <v>1905.12</v>
      </c>
      <c r="K5"/>
      <c r="L5"/>
      <c r="M5"/>
      <c r="N5"/>
      <c r="O5"/>
      <c r="P5"/>
    </row>
    <row r="6" spans="1:16" ht="18" customHeight="1">
      <c r="A6" s="673">
        <v>3</v>
      </c>
      <c r="B6" s="647" t="s">
        <v>133</v>
      </c>
      <c r="C6" s="648" t="s">
        <v>106</v>
      </c>
      <c r="D6" s="673">
        <v>1</v>
      </c>
      <c r="E6" s="673">
        <v>1</v>
      </c>
      <c r="F6" s="673">
        <v>1</v>
      </c>
      <c r="G6" s="673">
        <v>1</v>
      </c>
      <c r="H6" s="722">
        <f t="shared" ref="H6" si="1">SUM(D6:G6)</f>
        <v>4</v>
      </c>
      <c r="I6" s="650">
        <v>92.28</v>
      </c>
      <c r="J6" s="670">
        <f>TRUNC(I6*H6,2)</f>
        <v>369.12</v>
      </c>
      <c r="K6"/>
      <c r="L6"/>
      <c r="M6"/>
      <c r="N6"/>
      <c r="O6"/>
      <c r="P6"/>
    </row>
    <row r="7" spans="1:16" ht="18" customHeight="1">
      <c r="A7" s="671">
        <v>4</v>
      </c>
      <c r="B7" s="651" t="s">
        <v>134</v>
      </c>
      <c r="C7" s="652" t="s">
        <v>106</v>
      </c>
      <c r="D7" s="672">
        <v>1</v>
      </c>
      <c r="E7" s="672">
        <v>1</v>
      </c>
      <c r="F7" s="672">
        <v>1</v>
      </c>
      <c r="G7" s="672">
        <v>1</v>
      </c>
      <c r="H7" s="722">
        <f t="shared" ref="H7" si="2">SUM(D7:G7)</f>
        <v>4</v>
      </c>
      <c r="I7" s="650">
        <v>522.20000000000005</v>
      </c>
      <c r="J7" s="670">
        <f>TRUNC(I7*H7,2)</f>
        <v>2088.8000000000002</v>
      </c>
      <c r="K7"/>
      <c r="L7"/>
      <c r="M7"/>
      <c r="N7"/>
      <c r="O7"/>
      <c r="P7"/>
    </row>
    <row r="8" spans="1:16" ht="30" customHeight="1">
      <c r="A8" s="1296" t="s">
        <v>551</v>
      </c>
      <c r="B8" s="1296"/>
      <c r="C8" s="1296"/>
      <c r="D8" s="1296"/>
      <c r="E8" s="1296"/>
      <c r="F8" s="1296"/>
      <c r="G8" s="1296"/>
      <c r="H8" s="1296"/>
      <c r="I8" s="576" t="s">
        <v>89</v>
      </c>
      <c r="J8" s="670">
        <f>SUM(J4:J7)</f>
        <v>5782.84</v>
      </c>
      <c r="K8"/>
      <c r="L8"/>
      <c r="M8"/>
      <c r="N8"/>
      <c r="O8"/>
      <c r="P8"/>
    </row>
    <row r="9" spans="1:16" ht="30" customHeight="1">
      <c r="A9" s="1296" t="s">
        <v>552</v>
      </c>
      <c r="B9" s="1296"/>
      <c r="C9" s="1296"/>
      <c r="D9" s="1296"/>
      <c r="E9" s="1296"/>
      <c r="F9" s="1296"/>
      <c r="G9" s="1296"/>
      <c r="H9" s="1296"/>
      <c r="I9" s="576" t="s">
        <v>89</v>
      </c>
      <c r="J9" s="670">
        <f>(J8*0.9)/(12*8)*12</f>
        <v>650.56950000000006</v>
      </c>
      <c r="K9"/>
      <c r="L9"/>
      <c r="M9"/>
      <c r="N9"/>
      <c r="O9"/>
      <c r="P9"/>
    </row>
    <row r="10" spans="1:16" ht="30" customHeight="1">
      <c r="A10" s="1297" t="s">
        <v>575</v>
      </c>
      <c r="B10" s="1297"/>
      <c r="C10" s="1297"/>
      <c r="D10" s="1297"/>
      <c r="E10" s="1297"/>
      <c r="F10" s="1297"/>
      <c r="G10" s="1297"/>
      <c r="H10" s="1297"/>
      <c r="I10" s="576" t="s">
        <v>89</v>
      </c>
      <c r="J10" s="593">
        <f>J9/12/4</f>
        <v>13.553531250000001</v>
      </c>
      <c r="K10"/>
      <c r="L10"/>
      <c r="M10"/>
      <c r="N10"/>
      <c r="O10"/>
      <c r="P10"/>
    </row>
    <row r="11" spans="1:16" s="679" customFormat="1" ht="15.6">
      <c r="A11" s="1292" t="s">
        <v>304</v>
      </c>
      <c r="B11" s="1292"/>
      <c r="C11" s="1292"/>
      <c r="D11" s="1292"/>
      <c r="E11" s="1292"/>
      <c r="F11" s="1292"/>
      <c r="G11" s="1292"/>
      <c r="H11" s="1292"/>
      <c r="I11" s="1292"/>
      <c r="J11" s="1292"/>
    </row>
    <row r="12" spans="1:16" s="679" customFormat="1" ht="15.6">
      <c r="A12" s="1197" t="s">
        <v>553</v>
      </c>
      <c r="B12" s="1197"/>
      <c r="C12" s="1197"/>
      <c r="D12" s="1197"/>
      <c r="E12" s="1197"/>
      <c r="F12" s="1197"/>
      <c r="G12" s="1197"/>
      <c r="H12" s="1197"/>
      <c r="I12" s="1197"/>
      <c r="J12" s="1197"/>
    </row>
    <row r="13" spans="1:16" ht="24.6" customHeight="1">
      <c r="A13" s="1298"/>
      <c r="B13" s="1298"/>
      <c r="C13" s="1298"/>
      <c r="D13" s="1298"/>
      <c r="E13" s="1298"/>
      <c r="F13" s="1298"/>
      <c r="G13" s="1298"/>
      <c r="H13" s="1298"/>
      <c r="I13" s="1298"/>
      <c r="J13" s="1298"/>
      <c r="K13" s="504"/>
      <c r="L13" s="504"/>
      <c r="M13" s="504"/>
      <c r="N13" s="504"/>
      <c r="O13" s="504"/>
      <c r="P13" s="504"/>
    </row>
    <row r="14" spans="1:16" s="81" customFormat="1" ht="39.6" customHeight="1">
      <c r="A14" s="1206"/>
      <c r="B14" s="1206"/>
      <c r="C14" s="1206"/>
      <c r="D14" s="1206"/>
      <c r="E14" s="1206"/>
      <c r="F14" s="1206"/>
      <c r="G14" s="1206"/>
      <c r="H14" s="1206"/>
      <c r="I14" s="1206"/>
      <c r="J14" s="1206"/>
    </row>
    <row r="15" spans="1:16" s="81" customFormat="1" ht="15.6">
      <c r="A15" s="1197"/>
      <c r="B15" s="1197"/>
      <c r="C15" s="1197"/>
      <c r="D15" s="1197"/>
      <c r="E15" s="1197"/>
      <c r="F15" s="1197"/>
      <c r="G15" s="1197"/>
      <c r="H15" s="1197"/>
      <c r="I15" s="1197"/>
      <c r="J15" s="1197"/>
    </row>
    <row r="16" spans="1:16" ht="23.4" customHeight="1"/>
    <row r="17" spans="1:10" s="104" customFormat="1" ht="27" customHeight="1">
      <c r="A17" s="1291"/>
      <c r="B17" s="1291"/>
      <c r="C17" s="1291"/>
      <c r="D17" s="1291"/>
      <c r="E17" s="1291"/>
      <c r="F17" s="1291"/>
      <c r="G17" s="1291"/>
      <c r="H17" s="1291"/>
      <c r="I17" s="1291"/>
      <c r="J17" s="1291"/>
    </row>
    <row r="30" spans="1:10" s="81" customFormat="1" ht="13.8">
      <c r="H30" s="104"/>
    </row>
    <row r="31" spans="1:10" s="81" customFormat="1" ht="13.8">
      <c r="H31" s="104"/>
    </row>
    <row r="32" spans="1:10" s="81" customFormat="1" ht="13.8">
      <c r="H32" s="104"/>
    </row>
    <row r="33" spans="8:8" s="81" customFormat="1" ht="13.8">
      <c r="H33" s="104"/>
    </row>
    <row r="34" spans="8:8" s="81" customFormat="1" ht="13.8">
      <c r="H34" s="104"/>
    </row>
    <row r="35" spans="8:8" s="81" customFormat="1" ht="13.8">
      <c r="H35" s="104"/>
    </row>
    <row r="36" spans="8:8" s="81" customFormat="1" ht="13.8">
      <c r="H36" s="104"/>
    </row>
    <row r="37" spans="8:8" s="81" customFormat="1" ht="13.8">
      <c r="H37" s="104"/>
    </row>
    <row r="38" spans="8:8" s="81" customFormat="1" ht="13.8">
      <c r="H38" s="104"/>
    </row>
    <row r="39" spans="8:8" s="81" customFormat="1" ht="13.8">
      <c r="H39" s="104"/>
    </row>
    <row r="40" spans="8:8" s="81" customFormat="1" ht="13.8">
      <c r="H40" s="104"/>
    </row>
    <row r="41" spans="8:8" s="81" customFormat="1" ht="13.8">
      <c r="H41" s="104"/>
    </row>
    <row r="42" spans="8:8" s="81" customFormat="1" ht="13.8">
      <c r="H42" s="104"/>
    </row>
    <row r="43" spans="8:8" s="81" customFormat="1" ht="13.8">
      <c r="H43" s="104"/>
    </row>
    <row r="44" spans="8:8" s="81" customFormat="1" ht="13.8">
      <c r="H44" s="104"/>
    </row>
    <row r="45" spans="8:8" s="81" customFormat="1" ht="13.8">
      <c r="H45" s="104"/>
    </row>
    <row r="46" spans="8:8" s="81" customFormat="1" ht="13.8">
      <c r="H46" s="104"/>
    </row>
    <row r="47" spans="8:8" s="81" customFormat="1" ht="13.8">
      <c r="H47" s="104"/>
    </row>
    <row r="48" spans="8:8" s="81" customFormat="1" ht="13.8">
      <c r="H48" s="104"/>
    </row>
    <row r="49" spans="8:8" s="81" customFormat="1" ht="13.8">
      <c r="H49" s="104"/>
    </row>
    <row r="50" spans="8:8" s="81" customFormat="1" ht="13.8">
      <c r="H50" s="104"/>
    </row>
    <row r="51" spans="8:8" s="81" customFormat="1" ht="13.8">
      <c r="H51" s="104"/>
    </row>
    <row r="52" spans="8:8" s="81" customFormat="1" ht="13.8">
      <c r="H52" s="104"/>
    </row>
    <row r="53" spans="8:8" s="81" customFormat="1" ht="13.8">
      <c r="H53" s="104"/>
    </row>
    <row r="54" spans="8:8" s="81" customFormat="1" ht="13.8">
      <c r="H54" s="104"/>
    </row>
    <row r="55" spans="8:8" s="81" customFormat="1" ht="13.8">
      <c r="H55" s="104"/>
    </row>
    <row r="56" spans="8:8" s="81" customFormat="1" ht="13.8">
      <c r="H56" s="104"/>
    </row>
  </sheetData>
  <mergeCells count="16">
    <mergeCell ref="A1:J1"/>
    <mergeCell ref="A13:J13"/>
    <mergeCell ref="I2:J2"/>
    <mergeCell ref="A12:J12"/>
    <mergeCell ref="A14:J14"/>
    <mergeCell ref="A15:J15"/>
    <mergeCell ref="A17:J17"/>
    <mergeCell ref="A11:J11"/>
    <mergeCell ref="A2:A3"/>
    <mergeCell ref="B2:B3"/>
    <mergeCell ref="C2:C3"/>
    <mergeCell ref="D2:G2"/>
    <mergeCell ref="H2:H3"/>
    <mergeCell ref="A8:H8"/>
    <mergeCell ref="A9:H9"/>
    <mergeCell ref="A10:H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C000"/>
  </sheetPr>
  <dimension ref="A1:N40"/>
  <sheetViews>
    <sheetView showGridLines="0" zoomScale="85" zoomScaleNormal="85" workbookViewId="0">
      <selection activeCell="I15" sqref="I15"/>
    </sheetView>
  </sheetViews>
  <sheetFormatPr defaultRowHeight="13.2"/>
  <cols>
    <col min="1" max="1" width="20" style="767" customWidth="1"/>
    <col min="2" max="2" width="16.88671875" style="767" customWidth="1"/>
    <col min="3" max="3" width="20.21875" style="767" customWidth="1"/>
    <col min="4" max="4" width="20.33203125" style="767" customWidth="1"/>
    <col min="5" max="5" width="18.21875" style="770" customWidth="1"/>
    <col min="6" max="6" width="15.109375" style="767" customWidth="1"/>
    <col min="7" max="7" width="4" style="767" customWidth="1"/>
    <col min="8" max="8" width="17.88671875" style="767" customWidth="1"/>
    <col min="9" max="9" width="21.33203125" style="767" customWidth="1"/>
    <col min="10" max="10" width="17.21875" style="767" customWidth="1"/>
    <col min="11" max="11" width="17.109375" style="767" customWidth="1"/>
    <col min="12" max="12" width="12.88671875" style="774" customWidth="1"/>
    <col min="13" max="13" width="13.21875" style="767" customWidth="1"/>
    <col min="14" max="14" width="17.6640625" style="767" customWidth="1"/>
    <col min="15" max="15" width="17.33203125" style="767" customWidth="1"/>
    <col min="16" max="257" width="8.88671875" style="767"/>
    <col min="258" max="258" width="22.33203125" style="767" customWidth="1"/>
    <col min="259" max="259" width="10.5546875" style="767" customWidth="1"/>
    <col min="260" max="260" width="31.33203125" style="767" customWidth="1"/>
    <col min="261" max="261" width="18.44140625" style="767" customWidth="1"/>
    <col min="262" max="262" width="19.109375" style="767" customWidth="1"/>
    <col min="263" max="263" width="19" style="767" customWidth="1"/>
    <col min="264" max="264" width="12.44140625" style="767" customWidth="1"/>
    <col min="265" max="265" width="12.6640625" style="767" customWidth="1"/>
    <col min="266" max="266" width="12.77734375" style="767" customWidth="1"/>
    <col min="267" max="267" width="17.109375" style="767" customWidth="1"/>
    <col min="268" max="268" width="12.88671875" style="767" customWidth="1"/>
    <col min="269" max="269" width="13.21875" style="767" customWidth="1"/>
    <col min="270" max="270" width="17.6640625" style="767" customWidth="1"/>
    <col min="271" max="271" width="12.109375" style="767" customWidth="1"/>
    <col min="272" max="513" width="8.88671875" style="767"/>
    <col min="514" max="514" width="22.33203125" style="767" customWidth="1"/>
    <col min="515" max="515" width="10.5546875" style="767" customWidth="1"/>
    <col min="516" max="516" width="31.33203125" style="767" customWidth="1"/>
    <col min="517" max="517" width="18.44140625" style="767" customWidth="1"/>
    <col min="518" max="518" width="19.109375" style="767" customWidth="1"/>
    <col min="519" max="519" width="19" style="767" customWidth="1"/>
    <col min="520" max="520" width="12.44140625" style="767" customWidth="1"/>
    <col min="521" max="521" width="12.6640625" style="767" customWidth="1"/>
    <col min="522" max="522" width="12.77734375" style="767" customWidth="1"/>
    <col min="523" max="523" width="17.109375" style="767" customWidth="1"/>
    <col min="524" max="524" width="12.88671875" style="767" customWidth="1"/>
    <col min="525" max="525" width="13.21875" style="767" customWidth="1"/>
    <col min="526" max="526" width="17.6640625" style="767" customWidth="1"/>
    <col min="527" max="527" width="12.109375" style="767" customWidth="1"/>
    <col min="528" max="769" width="8.88671875" style="767"/>
    <col min="770" max="770" width="22.33203125" style="767" customWidth="1"/>
    <col min="771" max="771" width="10.5546875" style="767" customWidth="1"/>
    <col min="772" max="772" width="31.33203125" style="767" customWidth="1"/>
    <col min="773" max="773" width="18.44140625" style="767" customWidth="1"/>
    <col min="774" max="774" width="19.109375" style="767" customWidth="1"/>
    <col min="775" max="775" width="19" style="767" customWidth="1"/>
    <col min="776" max="776" width="12.44140625" style="767" customWidth="1"/>
    <col min="777" max="777" width="12.6640625" style="767" customWidth="1"/>
    <col min="778" max="778" width="12.77734375" style="767" customWidth="1"/>
    <col min="779" max="779" width="17.109375" style="767" customWidth="1"/>
    <col min="780" max="780" width="12.88671875" style="767" customWidth="1"/>
    <col min="781" max="781" width="13.21875" style="767" customWidth="1"/>
    <col min="782" max="782" width="17.6640625" style="767" customWidth="1"/>
    <col min="783" max="783" width="12.109375" style="767" customWidth="1"/>
    <col min="784" max="1025" width="8.88671875" style="767"/>
    <col min="1026" max="1026" width="22.33203125" style="767" customWidth="1"/>
    <col min="1027" max="1027" width="10.5546875" style="767" customWidth="1"/>
    <col min="1028" max="1028" width="31.33203125" style="767" customWidth="1"/>
    <col min="1029" max="1029" width="18.44140625" style="767" customWidth="1"/>
    <col min="1030" max="1030" width="19.109375" style="767" customWidth="1"/>
    <col min="1031" max="1031" width="19" style="767" customWidth="1"/>
    <col min="1032" max="1032" width="12.44140625" style="767" customWidth="1"/>
    <col min="1033" max="1033" width="12.6640625" style="767" customWidth="1"/>
    <col min="1034" max="1034" width="12.77734375" style="767" customWidth="1"/>
    <col min="1035" max="1035" width="17.109375" style="767" customWidth="1"/>
    <col min="1036" max="1036" width="12.88671875" style="767" customWidth="1"/>
    <col min="1037" max="1037" width="13.21875" style="767" customWidth="1"/>
    <col min="1038" max="1038" width="17.6640625" style="767" customWidth="1"/>
    <col min="1039" max="1039" width="12.109375" style="767" customWidth="1"/>
    <col min="1040" max="1281" width="8.88671875" style="767"/>
    <col min="1282" max="1282" width="22.33203125" style="767" customWidth="1"/>
    <col min="1283" max="1283" width="10.5546875" style="767" customWidth="1"/>
    <col min="1284" max="1284" width="31.33203125" style="767" customWidth="1"/>
    <col min="1285" max="1285" width="18.44140625" style="767" customWidth="1"/>
    <col min="1286" max="1286" width="19.109375" style="767" customWidth="1"/>
    <col min="1287" max="1287" width="19" style="767" customWidth="1"/>
    <col min="1288" max="1288" width="12.44140625" style="767" customWidth="1"/>
    <col min="1289" max="1289" width="12.6640625" style="767" customWidth="1"/>
    <col min="1290" max="1290" width="12.77734375" style="767" customWidth="1"/>
    <col min="1291" max="1291" width="17.109375" style="767" customWidth="1"/>
    <col min="1292" max="1292" width="12.88671875" style="767" customWidth="1"/>
    <col min="1293" max="1293" width="13.21875" style="767" customWidth="1"/>
    <col min="1294" max="1294" width="17.6640625" style="767" customWidth="1"/>
    <col min="1295" max="1295" width="12.109375" style="767" customWidth="1"/>
    <col min="1296" max="1537" width="8.88671875" style="767"/>
    <col min="1538" max="1538" width="22.33203125" style="767" customWidth="1"/>
    <col min="1539" max="1539" width="10.5546875" style="767" customWidth="1"/>
    <col min="1540" max="1540" width="31.33203125" style="767" customWidth="1"/>
    <col min="1541" max="1541" width="18.44140625" style="767" customWidth="1"/>
    <col min="1542" max="1542" width="19.109375" style="767" customWidth="1"/>
    <col min="1543" max="1543" width="19" style="767" customWidth="1"/>
    <col min="1544" max="1544" width="12.44140625" style="767" customWidth="1"/>
    <col min="1545" max="1545" width="12.6640625" style="767" customWidth="1"/>
    <col min="1546" max="1546" width="12.77734375" style="767" customWidth="1"/>
    <col min="1547" max="1547" width="17.109375" style="767" customWidth="1"/>
    <col min="1548" max="1548" width="12.88671875" style="767" customWidth="1"/>
    <col min="1549" max="1549" width="13.21875" style="767" customWidth="1"/>
    <col min="1550" max="1550" width="17.6640625" style="767" customWidth="1"/>
    <col min="1551" max="1551" width="12.109375" style="767" customWidth="1"/>
    <col min="1552" max="1793" width="8.88671875" style="767"/>
    <col min="1794" max="1794" width="22.33203125" style="767" customWidth="1"/>
    <col min="1795" max="1795" width="10.5546875" style="767" customWidth="1"/>
    <col min="1796" max="1796" width="31.33203125" style="767" customWidth="1"/>
    <col min="1797" max="1797" width="18.44140625" style="767" customWidth="1"/>
    <col min="1798" max="1798" width="19.109375" style="767" customWidth="1"/>
    <col min="1799" max="1799" width="19" style="767" customWidth="1"/>
    <col min="1800" max="1800" width="12.44140625" style="767" customWidth="1"/>
    <col min="1801" max="1801" width="12.6640625" style="767" customWidth="1"/>
    <col min="1802" max="1802" width="12.77734375" style="767" customWidth="1"/>
    <col min="1803" max="1803" width="17.109375" style="767" customWidth="1"/>
    <col min="1804" max="1804" width="12.88671875" style="767" customWidth="1"/>
    <col min="1805" max="1805" width="13.21875" style="767" customWidth="1"/>
    <col min="1806" max="1806" width="17.6640625" style="767" customWidth="1"/>
    <col min="1807" max="1807" width="12.109375" style="767" customWidth="1"/>
    <col min="1808" max="2049" width="8.88671875" style="767"/>
    <col min="2050" max="2050" width="22.33203125" style="767" customWidth="1"/>
    <col min="2051" max="2051" width="10.5546875" style="767" customWidth="1"/>
    <col min="2052" max="2052" width="31.33203125" style="767" customWidth="1"/>
    <col min="2053" max="2053" width="18.44140625" style="767" customWidth="1"/>
    <col min="2054" max="2054" width="19.109375" style="767" customWidth="1"/>
    <col min="2055" max="2055" width="19" style="767" customWidth="1"/>
    <col min="2056" max="2056" width="12.44140625" style="767" customWidth="1"/>
    <col min="2057" max="2057" width="12.6640625" style="767" customWidth="1"/>
    <col min="2058" max="2058" width="12.77734375" style="767" customWidth="1"/>
    <col min="2059" max="2059" width="17.109375" style="767" customWidth="1"/>
    <col min="2060" max="2060" width="12.88671875" style="767" customWidth="1"/>
    <col min="2061" max="2061" width="13.21875" style="767" customWidth="1"/>
    <col min="2062" max="2062" width="17.6640625" style="767" customWidth="1"/>
    <col min="2063" max="2063" width="12.109375" style="767" customWidth="1"/>
    <col min="2064" max="2305" width="8.88671875" style="767"/>
    <col min="2306" max="2306" width="22.33203125" style="767" customWidth="1"/>
    <col min="2307" max="2307" width="10.5546875" style="767" customWidth="1"/>
    <col min="2308" max="2308" width="31.33203125" style="767" customWidth="1"/>
    <col min="2309" max="2309" width="18.44140625" style="767" customWidth="1"/>
    <col min="2310" max="2310" width="19.109375" style="767" customWidth="1"/>
    <col min="2311" max="2311" width="19" style="767" customWidth="1"/>
    <col min="2312" max="2312" width="12.44140625" style="767" customWidth="1"/>
    <col min="2313" max="2313" width="12.6640625" style="767" customWidth="1"/>
    <col min="2314" max="2314" width="12.77734375" style="767" customWidth="1"/>
    <col min="2315" max="2315" width="17.109375" style="767" customWidth="1"/>
    <col min="2316" max="2316" width="12.88671875" style="767" customWidth="1"/>
    <col min="2317" max="2317" width="13.21875" style="767" customWidth="1"/>
    <col min="2318" max="2318" width="17.6640625" style="767" customWidth="1"/>
    <col min="2319" max="2319" width="12.109375" style="767" customWidth="1"/>
    <col min="2320" max="2561" width="8.88671875" style="767"/>
    <col min="2562" max="2562" width="22.33203125" style="767" customWidth="1"/>
    <col min="2563" max="2563" width="10.5546875" style="767" customWidth="1"/>
    <col min="2564" max="2564" width="31.33203125" style="767" customWidth="1"/>
    <col min="2565" max="2565" width="18.44140625" style="767" customWidth="1"/>
    <col min="2566" max="2566" width="19.109375" style="767" customWidth="1"/>
    <col min="2567" max="2567" width="19" style="767" customWidth="1"/>
    <col min="2568" max="2568" width="12.44140625" style="767" customWidth="1"/>
    <col min="2569" max="2569" width="12.6640625" style="767" customWidth="1"/>
    <col min="2570" max="2570" width="12.77734375" style="767" customWidth="1"/>
    <col min="2571" max="2571" width="17.109375" style="767" customWidth="1"/>
    <col min="2572" max="2572" width="12.88671875" style="767" customWidth="1"/>
    <col min="2573" max="2573" width="13.21875" style="767" customWidth="1"/>
    <col min="2574" max="2574" width="17.6640625" style="767" customWidth="1"/>
    <col min="2575" max="2575" width="12.109375" style="767" customWidth="1"/>
    <col min="2576" max="2817" width="8.88671875" style="767"/>
    <col min="2818" max="2818" width="22.33203125" style="767" customWidth="1"/>
    <col min="2819" max="2819" width="10.5546875" style="767" customWidth="1"/>
    <col min="2820" max="2820" width="31.33203125" style="767" customWidth="1"/>
    <col min="2821" max="2821" width="18.44140625" style="767" customWidth="1"/>
    <col min="2822" max="2822" width="19.109375" style="767" customWidth="1"/>
    <col min="2823" max="2823" width="19" style="767" customWidth="1"/>
    <col min="2824" max="2824" width="12.44140625" style="767" customWidth="1"/>
    <col min="2825" max="2825" width="12.6640625" style="767" customWidth="1"/>
    <col min="2826" max="2826" width="12.77734375" style="767" customWidth="1"/>
    <col min="2827" max="2827" width="17.109375" style="767" customWidth="1"/>
    <col min="2828" max="2828" width="12.88671875" style="767" customWidth="1"/>
    <col min="2829" max="2829" width="13.21875" style="767" customWidth="1"/>
    <col min="2830" max="2830" width="17.6640625" style="767" customWidth="1"/>
    <col min="2831" max="2831" width="12.109375" style="767" customWidth="1"/>
    <col min="2832" max="3073" width="8.88671875" style="767"/>
    <col min="3074" max="3074" width="22.33203125" style="767" customWidth="1"/>
    <col min="3075" max="3075" width="10.5546875" style="767" customWidth="1"/>
    <col min="3076" max="3076" width="31.33203125" style="767" customWidth="1"/>
    <col min="3077" max="3077" width="18.44140625" style="767" customWidth="1"/>
    <col min="3078" max="3078" width="19.109375" style="767" customWidth="1"/>
    <col min="3079" max="3079" width="19" style="767" customWidth="1"/>
    <col min="3080" max="3080" width="12.44140625" style="767" customWidth="1"/>
    <col min="3081" max="3081" width="12.6640625" style="767" customWidth="1"/>
    <col min="3082" max="3082" width="12.77734375" style="767" customWidth="1"/>
    <col min="3083" max="3083" width="17.109375" style="767" customWidth="1"/>
    <col min="3084" max="3084" width="12.88671875" style="767" customWidth="1"/>
    <col min="3085" max="3085" width="13.21875" style="767" customWidth="1"/>
    <col min="3086" max="3086" width="17.6640625" style="767" customWidth="1"/>
    <col min="3087" max="3087" width="12.109375" style="767" customWidth="1"/>
    <col min="3088" max="3329" width="8.88671875" style="767"/>
    <col min="3330" max="3330" width="22.33203125" style="767" customWidth="1"/>
    <col min="3331" max="3331" width="10.5546875" style="767" customWidth="1"/>
    <col min="3332" max="3332" width="31.33203125" style="767" customWidth="1"/>
    <col min="3333" max="3333" width="18.44140625" style="767" customWidth="1"/>
    <col min="3334" max="3334" width="19.109375" style="767" customWidth="1"/>
    <col min="3335" max="3335" width="19" style="767" customWidth="1"/>
    <col min="3336" max="3336" width="12.44140625" style="767" customWidth="1"/>
    <col min="3337" max="3337" width="12.6640625" style="767" customWidth="1"/>
    <col min="3338" max="3338" width="12.77734375" style="767" customWidth="1"/>
    <col min="3339" max="3339" width="17.109375" style="767" customWidth="1"/>
    <col min="3340" max="3340" width="12.88671875" style="767" customWidth="1"/>
    <col min="3341" max="3341" width="13.21875" style="767" customWidth="1"/>
    <col min="3342" max="3342" width="17.6640625" style="767" customWidth="1"/>
    <col min="3343" max="3343" width="12.109375" style="767" customWidth="1"/>
    <col min="3344" max="3585" width="8.88671875" style="767"/>
    <col min="3586" max="3586" width="22.33203125" style="767" customWidth="1"/>
    <col min="3587" max="3587" width="10.5546875" style="767" customWidth="1"/>
    <col min="3588" max="3588" width="31.33203125" style="767" customWidth="1"/>
    <col min="3589" max="3589" width="18.44140625" style="767" customWidth="1"/>
    <col min="3590" max="3590" width="19.109375" style="767" customWidth="1"/>
    <col min="3591" max="3591" width="19" style="767" customWidth="1"/>
    <col min="3592" max="3592" width="12.44140625" style="767" customWidth="1"/>
    <col min="3593" max="3593" width="12.6640625" style="767" customWidth="1"/>
    <col min="3594" max="3594" width="12.77734375" style="767" customWidth="1"/>
    <col min="3595" max="3595" width="17.109375" style="767" customWidth="1"/>
    <col min="3596" max="3596" width="12.88671875" style="767" customWidth="1"/>
    <col min="3597" max="3597" width="13.21875" style="767" customWidth="1"/>
    <col min="3598" max="3598" width="17.6640625" style="767" customWidth="1"/>
    <col min="3599" max="3599" width="12.109375" style="767" customWidth="1"/>
    <col min="3600" max="3841" width="8.88671875" style="767"/>
    <col min="3842" max="3842" width="22.33203125" style="767" customWidth="1"/>
    <col min="3843" max="3843" width="10.5546875" style="767" customWidth="1"/>
    <col min="3844" max="3844" width="31.33203125" style="767" customWidth="1"/>
    <col min="3845" max="3845" width="18.44140625" style="767" customWidth="1"/>
    <col min="3846" max="3846" width="19.109375" style="767" customWidth="1"/>
    <col min="3847" max="3847" width="19" style="767" customWidth="1"/>
    <col min="3848" max="3848" width="12.44140625" style="767" customWidth="1"/>
    <col min="3849" max="3849" width="12.6640625" style="767" customWidth="1"/>
    <col min="3850" max="3850" width="12.77734375" style="767" customWidth="1"/>
    <col min="3851" max="3851" width="17.109375" style="767" customWidth="1"/>
    <col min="3852" max="3852" width="12.88671875" style="767" customWidth="1"/>
    <col min="3853" max="3853" width="13.21875" style="767" customWidth="1"/>
    <col min="3854" max="3854" width="17.6640625" style="767" customWidth="1"/>
    <col min="3855" max="3855" width="12.109375" style="767" customWidth="1"/>
    <col min="3856" max="4097" width="8.88671875" style="767"/>
    <col min="4098" max="4098" width="22.33203125" style="767" customWidth="1"/>
    <col min="4099" max="4099" width="10.5546875" style="767" customWidth="1"/>
    <col min="4100" max="4100" width="31.33203125" style="767" customWidth="1"/>
    <col min="4101" max="4101" width="18.44140625" style="767" customWidth="1"/>
    <col min="4102" max="4102" width="19.109375" style="767" customWidth="1"/>
    <col min="4103" max="4103" width="19" style="767" customWidth="1"/>
    <col min="4104" max="4104" width="12.44140625" style="767" customWidth="1"/>
    <col min="4105" max="4105" width="12.6640625" style="767" customWidth="1"/>
    <col min="4106" max="4106" width="12.77734375" style="767" customWidth="1"/>
    <col min="4107" max="4107" width="17.109375" style="767" customWidth="1"/>
    <col min="4108" max="4108" width="12.88671875" style="767" customWidth="1"/>
    <col min="4109" max="4109" width="13.21875" style="767" customWidth="1"/>
    <col min="4110" max="4110" width="17.6640625" style="767" customWidth="1"/>
    <col min="4111" max="4111" width="12.109375" style="767" customWidth="1"/>
    <col min="4112" max="4353" width="8.88671875" style="767"/>
    <col min="4354" max="4354" width="22.33203125" style="767" customWidth="1"/>
    <col min="4355" max="4355" width="10.5546875" style="767" customWidth="1"/>
    <col min="4356" max="4356" width="31.33203125" style="767" customWidth="1"/>
    <col min="4357" max="4357" width="18.44140625" style="767" customWidth="1"/>
    <col min="4358" max="4358" width="19.109375" style="767" customWidth="1"/>
    <col min="4359" max="4359" width="19" style="767" customWidth="1"/>
    <col min="4360" max="4360" width="12.44140625" style="767" customWidth="1"/>
    <col min="4361" max="4361" width="12.6640625" style="767" customWidth="1"/>
    <col min="4362" max="4362" width="12.77734375" style="767" customWidth="1"/>
    <col min="4363" max="4363" width="17.109375" style="767" customWidth="1"/>
    <col min="4364" max="4364" width="12.88671875" style="767" customWidth="1"/>
    <col min="4365" max="4365" width="13.21875" style="767" customWidth="1"/>
    <col min="4366" max="4366" width="17.6640625" style="767" customWidth="1"/>
    <col min="4367" max="4367" width="12.109375" style="767" customWidth="1"/>
    <col min="4368" max="4609" width="8.88671875" style="767"/>
    <col min="4610" max="4610" width="22.33203125" style="767" customWidth="1"/>
    <col min="4611" max="4611" width="10.5546875" style="767" customWidth="1"/>
    <col min="4612" max="4612" width="31.33203125" style="767" customWidth="1"/>
    <col min="4613" max="4613" width="18.44140625" style="767" customWidth="1"/>
    <col min="4614" max="4614" width="19.109375" style="767" customWidth="1"/>
    <col min="4615" max="4615" width="19" style="767" customWidth="1"/>
    <col min="4616" max="4616" width="12.44140625" style="767" customWidth="1"/>
    <col min="4617" max="4617" width="12.6640625" style="767" customWidth="1"/>
    <col min="4618" max="4618" width="12.77734375" style="767" customWidth="1"/>
    <col min="4619" max="4619" width="17.109375" style="767" customWidth="1"/>
    <col min="4620" max="4620" width="12.88671875" style="767" customWidth="1"/>
    <col min="4621" max="4621" width="13.21875" style="767" customWidth="1"/>
    <col min="4622" max="4622" width="17.6640625" style="767" customWidth="1"/>
    <col min="4623" max="4623" width="12.109375" style="767" customWidth="1"/>
    <col min="4624" max="4865" width="8.88671875" style="767"/>
    <col min="4866" max="4866" width="22.33203125" style="767" customWidth="1"/>
    <col min="4867" max="4867" width="10.5546875" style="767" customWidth="1"/>
    <col min="4868" max="4868" width="31.33203125" style="767" customWidth="1"/>
    <col min="4869" max="4869" width="18.44140625" style="767" customWidth="1"/>
    <col min="4870" max="4870" width="19.109375" style="767" customWidth="1"/>
    <col min="4871" max="4871" width="19" style="767" customWidth="1"/>
    <col min="4872" max="4872" width="12.44140625" style="767" customWidth="1"/>
    <col min="4873" max="4873" width="12.6640625" style="767" customWidth="1"/>
    <col min="4874" max="4874" width="12.77734375" style="767" customWidth="1"/>
    <col min="4875" max="4875" width="17.109375" style="767" customWidth="1"/>
    <col min="4876" max="4876" width="12.88671875" style="767" customWidth="1"/>
    <col min="4877" max="4877" width="13.21875" style="767" customWidth="1"/>
    <col min="4878" max="4878" width="17.6640625" style="767" customWidth="1"/>
    <col min="4879" max="4879" width="12.109375" style="767" customWidth="1"/>
    <col min="4880" max="5121" width="8.88671875" style="767"/>
    <col min="5122" max="5122" width="22.33203125" style="767" customWidth="1"/>
    <col min="5123" max="5123" width="10.5546875" style="767" customWidth="1"/>
    <col min="5124" max="5124" width="31.33203125" style="767" customWidth="1"/>
    <col min="5125" max="5125" width="18.44140625" style="767" customWidth="1"/>
    <col min="5126" max="5126" width="19.109375" style="767" customWidth="1"/>
    <col min="5127" max="5127" width="19" style="767" customWidth="1"/>
    <col min="5128" max="5128" width="12.44140625" style="767" customWidth="1"/>
    <col min="5129" max="5129" width="12.6640625" style="767" customWidth="1"/>
    <col min="5130" max="5130" width="12.77734375" style="767" customWidth="1"/>
    <col min="5131" max="5131" width="17.109375" style="767" customWidth="1"/>
    <col min="5132" max="5132" width="12.88671875" style="767" customWidth="1"/>
    <col min="5133" max="5133" width="13.21875" style="767" customWidth="1"/>
    <col min="5134" max="5134" width="17.6640625" style="767" customWidth="1"/>
    <col min="5135" max="5135" width="12.109375" style="767" customWidth="1"/>
    <col min="5136" max="5377" width="8.88671875" style="767"/>
    <col min="5378" max="5378" width="22.33203125" style="767" customWidth="1"/>
    <col min="5379" max="5379" width="10.5546875" style="767" customWidth="1"/>
    <col min="5380" max="5380" width="31.33203125" style="767" customWidth="1"/>
    <col min="5381" max="5381" width="18.44140625" style="767" customWidth="1"/>
    <col min="5382" max="5382" width="19.109375" style="767" customWidth="1"/>
    <col min="5383" max="5383" width="19" style="767" customWidth="1"/>
    <col min="5384" max="5384" width="12.44140625" style="767" customWidth="1"/>
    <col min="5385" max="5385" width="12.6640625" style="767" customWidth="1"/>
    <col min="5386" max="5386" width="12.77734375" style="767" customWidth="1"/>
    <col min="5387" max="5387" width="17.109375" style="767" customWidth="1"/>
    <col min="5388" max="5388" width="12.88671875" style="767" customWidth="1"/>
    <col min="5389" max="5389" width="13.21875" style="767" customWidth="1"/>
    <col min="5390" max="5390" width="17.6640625" style="767" customWidth="1"/>
    <col min="5391" max="5391" width="12.109375" style="767" customWidth="1"/>
    <col min="5392" max="5633" width="8.88671875" style="767"/>
    <col min="5634" max="5634" width="22.33203125" style="767" customWidth="1"/>
    <col min="5635" max="5635" width="10.5546875" style="767" customWidth="1"/>
    <col min="5636" max="5636" width="31.33203125" style="767" customWidth="1"/>
    <col min="5637" max="5637" width="18.44140625" style="767" customWidth="1"/>
    <col min="5638" max="5638" width="19.109375" style="767" customWidth="1"/>
    <col min="5639" max="5639" width="19" style="767" customWidth="1"/>
    <col min="5640" max="5640" width="12.44140625" style="767" customWidth="1"/>
    <col min="5641" max="5641" width="12.6640625" style="767" customWidth="1"/>
    <col min="5642" max="5642" width="12.77734375" style="767" customWidth="1"/>
    <col min="5643" max="5643" width="17.109375" style="767" customWidth="1"/>
    <col min="5644" max="5644" width="12.88671875" style="767" customWidth="1"/>
    <col min="5645" max="5645" width="13.21875" style="767" customWidth="1"/>
    <col min="5646" max="5646" width="17.6640625" style="767" customWidth="1"/>
    <col min="5647" max="5647" width="12.109375" style="767" customWidth="1"/>
    <col min="5648" max="5889" width="8.88671875" style="767"/>
    <col min="5890" max="5890" width="22.33203125" style="767" customWidth="1"/>
    <col min="5891" max="5891" width="10.5546875" style="767" customWidth="1"/>
    <col min="5892" max="5892" width="31.33203125" style="767" customWidth="1"/>
    <col min="5893" max="5893" width="18.44140625" style="767" customWidth="1"/>
    <col min="5894" max="5894" width="19.109375" style="767" customWidth="1"/>
    <col min="5895" max="5895" width="19" style="767" customWidth="1"/>
    <col min="5896" max="5896" width="12.44140625" style="767" customWidth="1"/>
    <col min="5897" max="5897" width="12.6640625" style="767" customWidth="1"/>
    <col min="5898" max="5898" width="12.77734375" style="767" customWidth="1"/>
    <col min="5899" max="5899" width="17.109375" style="767" customWidth="1"/>
    <col min="5900" max="5900" width="12.88671875" style="767" customWidth="1"/>
    <col min="5901" max="5901" width="13.21875" style="767" customWidth="1"/>
    <col min="5902" max="5902" width="17.6640625" style="767" customWidth="1"/>
    <col min="5903" max="5903" width="12.109375" style="767" customWidth="1"/>
    <col min="5904" max="6145" width="8.88671875" style="767"/>
    <col min="6146" max="6146" width="22.33203125" style="767" customWidth="1"/>
    <col min="6147" max="6147" width="10.5546875" style="767" customWidth="1"/>
    <col min="6148" max="6148" width="31.33203125" style="767" customWidth="1"/>
    <col min="6149" max="6149" width="18.44140625" style="767" customWidth="1"/>
    <col min="6150" max="6150" width="19.109375" style="767" customWidth="1"/>
    <col min="6151" max="6151" width="19" style="767" customWidth="1"/>
    <col min="6152" max="6152" width="12.44140625" style="767" customWidth="1"/>
    <col min="6153" max="6153" width="12.6640625" style="767" customWidth="1"/>
    <col min="6154" max="6154" width="12.77734375" style="767" customWidth="1"/>
    <col min="6155" max="6155" width="17.109375" style="767" customWidth="1"/>
    <col min="6156" max="6156" width="12.88671875" style="767" customWidth="1"/>
    <col min="6157" max="6157" width="13.21875" style="767" customWidth="1"/>
    <col min="6158" max="6158" width="17.6640625" style="767" customWidth="1"/>
    <col min="6159" max="6159" width="12.109375" style="767" customWidth="1"/>
    <col min="6160" max="6401" width="8.88671875" style="767"/>
    <col min="6402" max="6402" width="22.33203125" style="767" customWidth="1"/>
    <col min="6403" max="6403" width="10.5546875" style="767" customWidth="1"/>
    <col min="6404" max="6404" width="31.33203125" style="767" customWidth="1"/>
    <col min="6405" max="6405" width="18.44140625" style="767" customWidth="1"/>
    <col min="6406" max="6406" width="19.109375" style="767" customWidth="1"/>
    <col min="6407" max="6407" width="19" style="767" customWidth="1"/>
    <col min="6408" max="6408" width="12.44140625" style="767" customWidth="1"/>
    <col min="6409" max="6409" width="12.6640625" style="767" customWidth="1"/>
    <col min="6410" max="6410" width="12.77734375" style="767" customWidth="1"/>
    <col min="6411" max="6411" width="17.109375" style="767" customWidth="1"/>
    <col min="6412" max="6412" width="12.88671875" style="767" customWidth="1"/>
    <col min="6413" max="6413" width="13.21875" style="767" customWidth="1"/>
    <col min="6414" max="6414" width="17.6640625" style="767" customWidth="1"/>
    <col min="6415" max="6415" width="12.109375" style="767" customWidth="1"/>
    <col min="6416" max="6657" width="8.88671875" style="767"/>
    <col min="6658" max="6658" width="22.33203125" style="767" customWidth="1"/>
    <col min="6659" max="6659" width="10.5546875" style="767" customWidth="1"/>
    <col min="6660" max="6660" width="31.33203125" style="767" customWidth="1"/>
    <col min="6661" max="6661" width="18.44140625" style="767" customWidth="1"/>
    <col min="6662" max="6662" width="19.109375" style="767" customWidth="1"/>
    <col min="6663" max="6663" width="19" style="767" customWidth="1"/>
    <col min="6664" max="6664" width="12.44140625" style="767" customWidth="1"/>
    <col min="6665" max="6665" width="12.6640625" style="767" customWidth="1"/>
    <col min="6666" max="6666" width="12.77734375" style="767" customWidth="1"/>
    <col min="6667" max="6667" width="17.109375" style="767" customWidth="1"/>
    <col min="6668" max="6668" width="12.88671875" style="767" customWidth="1"/>
    <col min="6669" max="6669" width="13.21875" style="767" customWidth="1"/>
    <col min="6670" max="6670" width="17.6640625" style="767" customWidth="1"/>
    <col min="6671" max="6671" width="12.109375" style="767" customWidth="1"/>
    <col min="6672" max="6913" width="8.88671875" style="767"/>
    <col min="6914" max="6914" width="22.33203125" style="767" customWidth="1"/>
    <col min="6915" max="6915" width="10.5546875" style="767" customWidth="1"/>
    <col min="6916" max="6916" width="31.33203125" style="767" customWidth="1"/>
    <col min="6917" max="6917" width="18.44140625" style="767" customWidth="1"/>
    <col min="6918" max="6918" width="19.109375" style="767" customWidth="1"/>
    <col min="6919" max="6919" width="19" style="767" customWidth="1"/>
    <col min="6920" max="6920" width="12.44140625" style="767" customWidth="1"/>
    <col min="6921" max="6921" width="12.6640625" style="767" customWidth="1"/>
    <col min="6922" max="6922" width="12.77734375" style="767" customWidth="1"/>
    <col min="6923" max="6923" width="17.109375" style="767" customWidth="1"/>
    <col min="6924" max="6924" width="12.88671875" style="767" customWidth="1"/>
    <col min="6925" max="6925" width="13.21875" style="767" customWidth="1"/>
    <col min="6926" max="6926" width="17.6640625" style="767" customWidth="1"/>
    <col min="6927" max="6927" width="12.109375" style="767" customWidth="1"/>
    <col min="6928" max="7169" width="8.88671875" style="767"/>
    <col min="7170" max="7170" width="22.33203125" style="767" customWidth="1"/>
    <col min="7171" max="7171" width="10.5546875" style="767" customWidth="1"/>
    <col min="7172" max="7172" width="31.33203125" style="767" customWidth="1"/>
    <col min="7173" max="7173" width="18.44140625" style="767" customWidth="1"/>
    <col min="7174" max="7174" width="19.109375" style="767" customWidth="1"/>
    <col min="7175" max="7175" width="19" style="767" customWidth="1"/>
    <col min="7176" max="7176" width="12.44140625" style="767" customWidth="1"/>
    <col min="7177" max="7177" width="12.6640625" style="767" customWidth="1"/>
    <col min="7178" max="7178" width="12.77734375" style="767" customWidth="1"/>
    <col min="7179" max="7179" width="17.109375" style="767" customWidth="1"/>
    <col min="7180" max="7180" width="12.88671875" style="767" customWidth="1"/>
    <col min="7181" max="7181" width="13.21875" style="767" customWidth="1"/>
    <col min="7182" max="7182" width="17.6640625" style="767" customWidth="1"/>
    <col min="7183" max="7183" width="12.109375" style="767" customWidth="1"/>
    <col min="7184" max="7425" width="8.88671875" style="767"/>
    <col min="7426" max="7426" width="22.33203125" style="767" customWidth="1"/>
    <col min="7427" max="7427" width="10.5546875" style="767" customWidth="1"/>
    <col min="7428" max="7428" width="31.33203125" style="767" customWidth="1"/>
    <col min="7429" max="7429" width="18.44140625" style="767" customWidth="1"/>
    <col min="7430" max="7430" width="19.109375" style="767" customWidth="1"/>
    <col min="7431" max="7431" width="19" style="767" customWidth="1"/>
    <col min="7432" max="7432" width="12.44140625" style="767" customWidth="1"/>
    <col min="7433" max="7433" width="12.6640625" style="767" customWidth="1"/>
    <col min="7434" max="7434" width="12.77734375" style="767" customWidth="1"/>
    <col min="7435" max="7435" width="17.109375" style="767" customWidth="1"/>
    <col min="7436" max="7436" width="12.88671875" style="767" customWidth="1"/>
    <col min="7437" max="7437" width="13.21875" style="767" customWidth="1"/>
    <col min="7438" max="7438" width="17.6640625" style="767" customWidth="1"/>
    <col min="7439" max="7439" width="12.109375" style="767" customWidth="1"/>
    <col min="7440" max="7681" width="8.88671875" style="767"/>
    <col min="7682" max="7682" width="22.33203125" style="767" customWidth="1"/>
    <col min="7683" max="7683" width="10.5546875" style="767" customWidth="1"/>
    <col min="7684" max="7684" width="31.33203125" style="767" customWidth="1"/>
    <col min="7685" max="7685" width="18.44140625" style="767" customWidth="1"/>
    <col min="7686" max="7686" width="19.109375" style="767" customWidth="1"/>
    <col min="7687" max="7687" width="19" style="767" customWidth="1"/>
    <col min="7688" max="7688" width="12.44140625" style="767" customWidth="1"/>
    <col min="7689" max="7689" width="12.6640625" style="767" customWidth="1"/>
    <col min="7690" max="7690" width="12.77734375" style="767" customWidth="1"/>
    <col min="7691" max="7691" width="17.109375" style="767" customWidth="1"/>
    <col min="7692" max="7692" width="12.88671875" style="767" customWidth="1"/>
    <col min="7693" max="7693" width="13.21875" style="767" customWidth="1"/>
    <col min="7694" max="7694" width="17.6640625" style="767" customWidth="1"/>
    <col min="7695" max="7695" width="12.109375" style="767" customWidth="1"/>
    <col min="7696" max="7937" width="8.88671875" style="767"/>
    <col min="7938" max="7938" width="22.33203125" style="767" customWidth="1"/>
    <col min="7939" max="7939" width="10.5546875" style="767" customWidth="1"/>
    <col min="7940" max="7940" width="31.33203125" style="767" customWidth="1"/>
    <col min="7941" max="7941" width="18.44140625" style="767" customWidth="1"/>
    <col min="7942" max="7942" width="19.109375" style="767" customWidth="1"/>
    <col min="7943" max="7943" width="19" style="767" customWidth="1"/>
    <col min="7944" max="7944" width="12.44140625" style="767" customWidth="1"/>
    <col min="7945" max="7945" width="12.6640625" style="767" customWidth="1"/>
    <col min="7946" max="7946" width="12.77734375" style="767" customWidth="1"/>
    <col min="7947" max="7947" width="17.109375" style="767" customWidth="1"/>
    <col min="7948" max="7948" width="12.88671875" style="767" customWidth="1"/>
    <col min="7949" max="7949" width="13.21875" style="767" customWidth="1"/>
    <col min="7950" max="7950" width="17.6640625" style="767" customWidth="1"/>
    <col min="7951" max="7951" width="12.109375" style="767" customWidth="1"/>
    <col min="7952" max="8193" width="8.88671875" style="767"/>
    <col min="8194" max="8194" width="22.33203125" style="767" customWidth="1"/>
    <col min="8195" max="8195" width="10.5546875" style="767" customWidth="1"/>
    <col min="8196" max="8196" width="31.33203125" style="767" customWidth="1"/>
    <col min="8197" max="8197" width="18.44140625" style="767" customWidth="1"/>
    <col min="8198" max="8198" width="19.109375" style="767" customWidth="1"/>
    <col min="8199" max="8199" width="19" style="767" customWidth="1"/>
    <col min="8200" max="8200" width="12.44140625" style="767" customWidth="1"/>
    <col min="8201" max="8201" width="12.6640625" style="767" customWidth="1"/>
    <col min="8202" max="8202" width="12.77734375" style="767" customWidth="1"/>
    <col min="8203" max="8203" width="17.109375" style="767" customWidth="1"/>
    <col min="8204" max="8204" width="12.88671875" style="767" customWidth="1"/>
    <col min="8205" max="8205" width="13.21875" style="767" customWidth="1"/>
    <col min="8206" max="8206" width="17.6640625" style="767" customWidth="1"/>
    <col min="8207" max="8207" width="12.109375" style="767" customWidth="1"/>
    <col min="8208" max="8449" width="8.88671875" style="767"/>
    <col min="8450" max="8450" width="22.33203125" style="767" customWidth="1"/>
    <col min="8451" max="8451" width="10.5546875" style="767" customWidth="1"/>
    <col min="8452" max="8452" width="31.33203125" style="767" customWidth="1"/>
    <col min="8453" max="8453" width="18.44140625" style="767" customWidth="1"/>
    <col min="8454" max="8454" width="19.109375" style="767" customWidth="1"/>
    <col min="8455" max="8455" width="19" style="767" customWidth="1"/>
    <col min="8456" max="8456" width="12.44140625" style="767" customWidth="1"/>
    <col min="8457" max="8457" width="12.6640625" style="767" customWidth="1"/>
    <col min="8458" max="8458" width="12.77734375" style="767" customWidth="1"/>
    <col min="8459" max="8459" width="17.109375" style="767" customWidth="1"/>
    <col min="8460" max="8460" width="12.88671875" style="767" customWidth="1"/>
    <col min="8461" max="8461" width="13.21875" style="767" customWidth="1"/>
    <col min="8462" max="8462" width="17.6640625" style="767" customWidth="1"/>
    <col min="8463" max="8463" width="12.109375" style="767" customWidth="1"/>
    <col min="8464" max="8705" width="8.88671875" style="767"/>
    <col min="8706" max="8706" width="22.33203125" style="767" customWidth="1"/>
    <col min="8707" max="8707" width="10.5546875" style="767" customWidth="1"/>
    <col min="8708" max="8708" width="31.33203125" style="767" customWidth="1"/>
    <col min="8709" max="8709" width="18.44140625" style="767" customWidth="1"/>
    <col min="8710" max="8710" width="19.109375" style="767" customWidth="1"/>
    <col min="8711" max="8711" width="19" style="767" customWidth="1"/>
    <col min="8712" max="8712" width="12.44140625" style="767" customWidth="1"/>
    <col min="8713" max="8713" width="12.6640625" style="767" customWidth="1"/>
    <col min="8714" max="8714" width="12.77734375" style="767" customWidth="1"/>
    <col min="8715" max="8715" width="17.109375" style="767" customWidth="1"/>
    <col min="8716" max="8716" width="12.88671875" style="767" customWidth="1"/>
    <col min="8717" max="8717" width="13.21875" style="767" customWidth="1"/>
    <col min="8718" max="8718" width="17.6640625" style="767" customWidth="1"/>
    <col min="8719" max="8719" width="12.109375" style="767" customWidth="1"/>
    <col min="8720" max="8961" width="8.88671875" style="767"/>
    <col min="8962" max="8962" width="22.33203125" style="767" customWidth="1"/>
    <col min="8963" max="8963" width="10.5546875" style="767" customWidth="1"/>
    <col min="8964" max="8964" width="31.33203125" style="767" customWidth="1"/>
    <col min="8965" max="8965" width="18.44140625" style="767" customWidth="1"/>
    <col min="8966" max="8966" width="19.109375" style="767" customWidth="1"/>
    <col min="8967" max="8967" width="19" style="767" customWidth="1"/>
    <col min="8968" max="8968" width="12.44140625" style="767" customWidth="1"/>
    <col min="8969" max="8969" width="12.6640625" style="767" customWidth="1"/>
    <col min="8970" max="8970" width="12.77734375" style="767" customWidth="1"/>
    <col min="8971" max="8971" width="17.109375" style="767" customWidth="1"/>
    <col min="8972" max="8972" width="12.88671875" style="767" customWidth="1"/>
    <col min="8973" max="8973" width="13.21875" style="767" customWidth="1"/>
    <col min="8974" max="8974" width="17.6640625" style="767" customWidth="1"/>
    <col min="8975" max="8975" width="12.109375" style="767" customWidth="1"/>
    <col min="8976" max="9217" width="8.88671875" style="767"/>
    <col min="9218" max="9218" width="22.33203125" style="767" customWidth="1"/>
    <col min="9219" max="9219" width="10.5546875" style="767" customWidth="1"/>
    <col min="9220" max="9220" width="31.33203125" style="767" customWidth="1"/>
    <col min="9221" max="9221" width="18.44140625" style="767" customWidth="1"/>
    <col min="9222" max="9222" width="19.109375" style="767" customWidth="1"/>
    <col min="9223" max="9223" width="19" style="767" customWidth="1"/>
    <col min="9224" max="9224" width="12.44140625" style="767" customWidth="1"/>
    <col min="9225" max="9225" width="12.6640625" style="767" customWidth="1"/>
    <col min="9226" max="9226" width="12.77734375" style="767" customWidth="1"/>
    <col min="9227" max="9227" width="17.109375" style="767" customWidth="1"/>
    <col min="9228" max="9228" width="12.88671875" style="767" customWidth="1"/>
    <col min="9229" max="9229" width="13.21875" style="767" customWidth="1"/>
    <col min="9230" max="9230" width="17.6640625" style="767" customWidth="1"/>
    <col min="9231" max="9231" width="12.109375" style="767" customWidth="1"/>
    <col min="9232" max="9473" width="8.88671875" style="767"/>
    <col min="9474" max="9474" width="22.33203125" style="767" customWidth="1"/>
    <col min="9475" max="9475" width="10.5546875" style="767" customWidth="1"/>
    <col min="9476" max="9476" width="31.33203125" style="767" customWidth="1"/>
    <col min="9477" max="9477" width="18.44140625" style="767" customWidth="1"/>
    <col min="9478" max="9478" width="19.109375" style="767" customWidth="1"/>
    <col min="9479" max="9479" width="19" style="767" customWidth="1"/>
    <col min="9480" max="9480" width="12.44140625" style="767" customWidth="1"/>
    <col min="9481" max="9481" width="12.6640625" style="767" customWidth="1"/>
    <col min="9482" max="9482" width="12.77734375" style="767" customWidth="1"/>
    <col min="9483" max="9483" width="17.109375" style="767" customWidth="1"/>
    <col min="9484" max="9484" width="12.88671875" style="767" customWidth="1"/>
    <col min="9485" max="9485" width="13.21875" style="767" customWidth="1"/>
    <col min="9486" max="9486" width="17.6640625" style="767" customWidth="1"/>
    <col min="9487" max="9487" width="12.109375" style="767" customWidth="1"/>
    <col min="9488" max="9729" width="8.88671875" style="767"/>
    <col min="9730" max="9730" width="22.33203125" style="767" customWidth="1"/>
    <col min="9731" max="9731" width="10.5546875" style="767" customWidth="1"/>
    <col min="9732" max="9732" width="31.33203125" style="767" customWidth="1"/>
    <col min="9733" max="9733" width="18.44140625" style="767" customWidth="1"/>
    <col min="9734" max="9734" width="19.109375" style="767" customWidth="1"/>
    <col min="9735" max="9735" width="19" style="767" customWidth="1"/>
    <col min="9736" max="9736" width="12.44140625" style="767" customWidth="1"/>
    <col min="9737" max="9737" width="12.6640625" style="767" customWidth="1"/>
    <col min="9738" max="9738" width="12.77734375" style="767" customWidth="1"/>
    <col min="9739" max="9739" width="17.109375" style="767" customWidth="1"/>
    <col min="9740" max="9740" width="12.88671875" style="767" customWidth="1"/>
    <col min="9741" max="9741" width="13.21875" style="767" customWidth="1"/>
    <col min="9742" max="9742" width="17.6640625" style="767" customWidth="1"/>
    <col min="9743" max="9743" width="12.109375" style="767" customWidth="1"/>
    <col min="9744" max="9985" width="8.88671875" style="767"/>
    <col min="9986" max="9986" width="22.33203125" style="767" customWidth="1"/>
    <col min="9987" max="9987" width="10.5546875" style="767" customWidth="1"/>
    <col min="9988" max="9988" width="31.33203125" style="767" customWidth="1"/>
    <col min="9989" max="9989" width="18.44140625" style="767" customWidth="1"/>
    <col min="9990" max="9990" width="19.109375" style="767" customWidth="1"/>
    <col min="9991" max="9991" width="19" style="767" customWidth="1"/>
    <col min="9992" max="9992" width="12.44140625" style="767" customWidth="1"/>
    <col min="9993" max="9993" width="12.6640625" style="767" customWidth="1"/>
    <col min="9994" max="9994" width="12.77734375" style="767" customWidth="1"/>
    <col min="9995" max="9995" width="17.109375" style="767" customWidth="1"/>
    <col min="9996" max="9996" width="12.88671875" style="767" customWidth="1"/>
    <col min="9997" max="9997" width="13.21875" style="767" customWidth="1"/>
    <col min="9998" max="9998" width="17.6640625" style="767" customWidth="1"/>
    <col min="9999" max="9999" width="12.109375" style="767" customWidth="1"/>
    <col min="10000" max="10241" width="8.88671875" style="767"/>
    <col min="10242" max="10242" width="22.33203125" style="767" customWidth="1"/>
    <col min="10243" max="10243" width="10.5546875" style="767" customWidth="1"/>
    <col min="10244" max="10244" width="31.33203125" style="767" customWidth="1"/>
    <col min="10245" max="10245" width="18.44140625" style="767" customWidth="1"/>
    <col min="10246" max="10246" width="19.109375" style="767" customWidth="1"/>
    <col min="10247" max="10247" width="19" style="767" customWidth="1"/>
    <col min="10248" max="10248" width="12.44140625" style="767" customWidth="1"/>
    <col min="10249" max="10249" width="12.6640625" style="767" customWidth="1"/>
    <col min="10250" max="10250" width="12.77734375" style="767" customWidth="1"/>
    <col min="10251" max="10251" width="17.109375" style="767" customWidth="1"/>
    <col min="10252" max="10252" width="12.88671875" style="767" customWidth="1"/>
    <col min="10253" max="10253" width="13.21875" style="767" customWidth="1"/>
    <col min="10254" max="10254" width="17.6640625" style="767" customWidth="1"/>
    <col min="10255" max="10255" width="12.109375" style="767" customWidth="1"/>
    <col min="10256" max="10497" width="8.88671875" style="767"/>
    <col min="10498" max="10498" width="22.33203125" style="767" customWidth="1"/>
    <col min="10499" max="10499" width="10.5546875" style="767" customWidth="1"/>
    <col min="10500" max="10500" width="31.33203125" style="767" customWidth="1"/>
    <col min="10501" max="10501" width="18.44140625" style="767" customWidth="1"/>
    <col min="10502" max="10502" width="19.109375" style="767" customWidth="1"/>
    <col min="10503" max="10503" width="19" style="767" customWidth="1"/>
    <col min="10504" max="10504" width="12.44140625" style="767" customWidth="1"/>
    <col min="10505" max="10505" width="12.6640625" style="767" customWidth="1"/>
    <col min="10506" max="10506" width="12.77734375" style="767" customWidth="1"/>
    <col min="10507" max="10507" width="17.109375" style="767" customWidth="1"/>
    <col min="10508" max="10508" width="12.88671875" style="767" customWidth="1"/>
    <col min="10509" max="10509" width="13.21875" style="767" customWidth="1"/>
    <col min="10510" max="10510" width="17.6640625" style="767" customWidth="1"/>
    <col min="10511" max="10511" width="12.109375" style="767" customWidth="1"/>
    <col min="10512" max="10753" width="8.88671875" style="767"/>
    <col min="10754" max="10754" width="22.33203125" style="767" customWidth="1"/>
    <col min="10755" max="10755" width="10.5546875" style="767" customWidth="1"/>
    <col min="10756" max="10756" width="31.33203125" style="767" customWidth="1"/>
    <col min="10757" max="10757" width="18.44140625" style="767" customWidth="1"/>
    <col min="10758" max="10758" width="19.109375" style="767" customWidth="1"/>
    <col min="10759" max="10759" width="19" style="767" customWidth="1"/>
    <col min="10760" max="10760" width="12.44140625" style="767" customWidth="1"/>
    <col min="10761" max="10761" width="12.6640625" style="767" customWidth="1"/>
    <col min="10762" max="10762" width="12.77734375" style="767" customWidth="1"/>
    <col min="10763" max="10763" width="17.109375" style="767" customWidth="1"/>
    <col min="10764" max="10764" width="12.88671875" style="767" customWidth="1"/>
    <col min="10765" max="10765" width="13.21875" style="767" customWidth="1"/>
    <col min="10766" max="10766" width="17.6640625" style="767" customWidth="1"/>
    <col min="10767" max="10767" width="12.109375" style="767" customWidth="1"/>
    <col min="10768" max="11009" width="8.88671875" style="767"/>
    <col min="11010" max="11010" width="22.33203125" style="767" customWidth="1"/>
    <col min="11011" max="11011" width="10.5546875" style="767" customWidth="1"/>
    <col min="11012" max="11012" width="31.33203125" style="767" customWidth="1"/>
    <col min="11013" max="11013" width="18.44140625" style="767" customWidth="1"/>
    <col min="11014" max="11014" width="19.109375" style="767" customWidth="1"/>
    <col min="11015" max="11015" width="19" style="767" customWidth="1"/>
    <col min="11016" max="11016" width="12.44140625" style="767" customWidth="1"/>
    <col min="11017" max="11017" width="12.6640625" style="767" customWidth="1"/>
    <col min="11018" max="11018" width="12.77734375" style="767" customWidth="1"/>
    <col min="11019" max="11019" width="17.109375" style="767" customWidth="1"/>
    <col min="11020" max="11020" width="12.88671875" style="767" customWidth="1"/>
    <col min="11021" max="11021" width="13.21875" style="767" customWidth="1"/>
    <col min="11022" max="11022" width="17.6640625" style="767" customWidth="1"/>
    <col min="11023" max="11023" width="12.109375" style="767" customWidth="1"/>
    <col min="11024" max="11265" width="8.88671875" style="767"/>
    <col min="11266" max="11266" width="22.33203125" style="767" customWidth="1"/>
    <col min="11267" max="11267" width="10.5546875" style="767" customWidth="1"/>
    <col min="11268" max="11268" width="31.33203125" style="767" customWidth="1"/>
    <col min="11269" max="11269" width="18.44140625" style="767" customWidth="1"/>
    <col min="11270" max="11270" width="19.109375" style="767" customWidth="1"/>
    <col min="11271" max="11271" width="19" style="767" customWidth="1"/>
    <col min="11272" max="11272" width="12.44140625" style="767" customWidth="1"/>
    <col min="11273" max="11273" width="12.6640625" style="767" customWidth="1"/>
    <col min="11274" max="11274" width="12.77734375" style="767" customWidth="1"/>
    <col min="11275" max="11275" width="17.109375" style="767" customWidth="1"/>
    <col min="11276" max="11276" width="12.88671875" style="767" customWidth="1"/>
    <col min="11277" max="11277" width="13.21875" style="767" customWidth="1"/>
    <col min="11278" max="11278" width="17.6640625" style="767" customWidth="1"/>
    <col min="11279" max="11279" width="12.109375" style="767" customWidth="1"/>
    <col min="11280" max="11521" width="8.88671875" style="767"/>
    <col min="11522" max="11522" width="22.33203125" style="767" customWidth="1"/>
    <col min="11523" max="11523" width="10.5546875" style="767" customWidth="1"/>
    <col min="11524" max="11524" width="31.33203125" style="767" customWidth="1"/>
    <col min="11525" max="11525" width="18.44140625" style="767" customWidth="1"/>
    <col min="11526" max="11526" width="19.109375" style="767" customWidth="1"/>
    <col min="11527" max="11527" width="19" style="767" customWidth="1"/>
    <col min="11528" max="11528" width="12.44140625" style="767" customWidth="1"/>
    <col min="11529" max="11529" width="12.6640625" style="767" customWidth="1"/>
    <col min="11530" max="11530" width="12.77734375" style="767" customWidth="1"/>
    <col min="11531" max="11531" width="17.109375" style="767" customWidth="1"/>
    <col min="11532" max="11532" width="12.88671875" style="767" customWidth="1"/>
    <col min="11533" max="11533" width="13.21875" style="767" customWidth="1"/>
    <col min="11534" max="11534" width="17.6640625" style="767" customWidth="1"/>
    <col min="11535" max="11535" width="12.109375" style="767" customWidth="1"/>
    <col min="11536" max="11777" width="8.88671875" style="767"/>
    <col min="11778" max="11778" width="22.33203125" style="767" customWidth="1"/>
    <col min="11779" max="11779" width="10.5546875" style="767" customWidth="1"/>
    <col min="11780" max="11780" width="31.33203125" style="767" customWidth="1"/>
    <col min="11781" max="11781" width="18.44140625" style="767" customWidth="1"/>
    <col min="11782" max="11782" width="19.109375" style="767" customWidth="1"/>
    <col min="11783" max="11783" width="19" style="767" customWidth="1"/>
    <col min="11784" max="11784" width="12.44140625" style="767" customWidth="1"/>
    <col min="11785" max="11785" width="12.6640625" style="767" customWidth="1"/>
    <col min="11786" max="11786" width="12.77734375" style="767" customWidth="1"/>
    <col min="11787" max="11787" width="17.109375" style="767" customWidth="1"/>
    <col min="11788" max="11788" width="12.88671875" style="767" customWidth="1"/>
    <col min="11789" max="11789" width="13.21875" style="767" customWidth="1"/>
    <col min="11790" max="11790" width="17.6640625" style="767" customWidth="1"/>
    <col min="11791" max="11791" width="12.109375" style="767" customWidth="1"/>
    <col min="11792" max="12033" width="8.88671875" style="767"/>
    <col min="12034" max="12034" width="22.33203125" style="767" customWidth="1"/>
    <col min="12035" max="12035" width="10.5546875" style="767" customWidth="1"/>
    <col min="12036" max="12036" width="31.33203125" style="767" customWidth="1"/>
    <col min="12037" max="12037" width="18.44140625" style="767" customWidth="1"/>
    <col min="12038" max="12038" width="19.109375" style="767" customWidth="1"/>
    <col min="12039" max="12039" width="19" style="767" customWidth="1"/>
    <col min="12040" max="12040" width="12.44140625" style="767" customWidth="1"/>
    <col min="12041" max="12041" width="12.6640625" style="767" customWidth="1"/>
    <col min="12042" max="12042" width="12.77734375" style="767" customWidth="1"/>
    <col min="12043" max="12043" width="17.109375" style="767" customWidth="1"/>
    <col min="12044" max="12044" width="12.88671875" style="767" customWidth="1"/>
    <col min="12045" max="12045" width="13.21875" style="767" customWidth="1"/>
    <col min="12046" max="12046" width="17.6640625" style="767" customWidth="1"/>
    <col min="12047" max="12047" width="12.109375" style="767" customWidth="1"/>
    <col min="12048" max="12289" width="8.88671875" style="767"/>
    <col min="12290" max="12290" width="22.33203125" style="767" customWidth="1"/>
    <col min="12291" max="12291" width="10.5546875" style="767" customWidth="1"/>
    <col min="12292" max="12292" width="31.33203125" style="767" customWidth="1"/>
    <col min="12293" max="12293" width="18.44140625" style="767" customWidth="1"/>
    <col min="12294" max="12294" width="19.109375" style="767" customWidth="1"/>
    <col min="12295" max="12295" width="19" style="767" customWidth="1"/>
    <col min="12296" max="12296" width="12.44140625" style="767" customWidth="1"/>
    <col min="12297" max="12297" width="12.6640625" style="767" customWidth="1"/>
    <col min="12298" max="12298" width="12.77734375" style="767" customWidth="1"/>
    <col min="12299" max="12299" width="17.109375" style="767" customWidth="1"/>
    <col min="12300" max="12300" width="12.88671875" style="767" customWidth="1"/>
    <col min="12301" max="12301" width="13.21875" style="767" customWidth="1"/>
    <col min="12302" max="12302" width="17.6640625" style="767" customWidth="1"/>
    <col min="12303" max="12303" width="12.109375" style="767" customWidth="1"/>
    <col min="12304" max="12545" width="8.88671875" style="767"/>
    <col min="12546" max="12546" width="22.33203125" style="767" customWidth="1"/>
    <col min="12547" max="12547" width="10.5546875" style="767" customWidth="1"/>
    <col min="12548" max="12548" width="31.33203125" style="767" customWidth="1"/>
    <col min="12549" max="12549" width="18.44140625" style="767" customWidth="1"/>
    <col min="12550" max="12550" width="19.109375" style="767" customWidth="1"/>
    <col min="12551" max="12551" width="19" style="767" customWidth="1"/>
    <col min="12552" max="12552" width="12.44140625" style="767" customWidth="1"/>
    <col min="12553" max="12553" width="12.6640625" style="767" customWidth="1"/>
    <col min="12554" max="12554" width="12.77734375" style="767" customWidth="1"/>
    <col min="12555" max="12555" width="17.109375" style="767" customWidth="1"/>
    <col min="12556" max="12556" width="12.88671875" style="767" customWidth="1"/>
    <col min="12557" max="12557" width="13.21875" style="767" customWidth="1"/>
    <col min="12558" max="12558" width="17.6640625" style="767" customWidth="1"/>
    <col min="12559" max="12559" width="12.109375" style="767" customWidth="1"/>
    <col min="12560" max="12801" width="8.88671875" style="767"/>
    <col min="12802" max="12802" width="22.33203125" style="767" customWidth="1"/>
    <col min="12803" max="12803" width="10.5546875" style="767" customWidth="1"/>
    <col min="12804" max="12804" width="31.33203125" style="767" customWidth="1"/>
    <col min="12805" max="12805" width="18.44140625" style="767" customWidth="1"/>
    <col min="12806" max="12806" width="19.109375" style="767" customWidth="1"/>
    <col min="12807" max="12807" width="19" style="767" customWidth="1"/>
    <col min="12808" max="12808" width="12.44140625" style="767" customWidth="1"/>
    <col min="12809" max="12809" width="12.6640625" style="767" customWidth="1"/>
    <col min="12810" max="12810" width="12.77734375" style="767" customWidth="1"/>
    <col min="12811" max="12811" width="17.109375" style="767" customWidth="1"/>
    <col min="12812" max="12812" width="12.88671875" style="767" customWidth="1"/>
    <col min="12813" max="12813" width="13.21875" style="767" customWidth="1"/>
    <col min="12814" max="12814" width="17.6640625" style="767" customWidth="1"/>
    <col min="12815" max="12815" width="12.109375" style="767" customWidth="1"/>
    <col min="12816" max="13057" width="8.88671875" style="767"/>
    <col min="13058" max="13058" width="22.33203125" style="767" customWidth="1"/>
    <col min="13059" max="13059" width="10.5546875" style="767" customWidth="1"/>
    <col min="13060" max="13060" width="31.33203125" style="767" customWidth="1"/>
    <col min="13061" max="13061" width="18.44140625" style="767" customWidth="1"/>
    <col min="13062" max="13062" width="19.109375" style="767" customWidth="1"/>
    <col min="13063" max="13063" width="19" style="767" customWidth="1"/>
    <col min="13064" max="13064" width="12.44140625" style="767" customWidth="1"/>
    <col min="13065" max="13065" width="12.6640625" style="767" customWidth="1"/>
    <col min="13066" max="13066" width="12.77734375" style="767" customWidth="1"/>
    <col min="13067" max="13067" width="17.109375" style="767" customWidth="1"/>
    <col min="13068" max="13068" width="12.88671875" style="767" customWidth="1"/>
    <col min="13069" max="13069" width="13.21875" style="767" customWidth="1"/>
    <col min="13070" max="13070" width="17.6640625" style="767" customWidth="1"/>
    <col min="13071" max="13071" width="12.109375" style="767" customWidth="1"/>
    <col min="13072" max="13313" width="8.88671875" style="767"/>
    <col min="13314" max="13314" width="22.33203125" style="767" customWidth="1"/>
    <col min="13315" max="13315" width="10.5546875" style="767" customWidth="1"/>
    <col min="13316" max="13316" width="31.33203125" style="767" customWidth="1"/>
    <col min="13317" max="13317" width="18.44140625" style="767" customWidth="1"/>
    <col min="13318" max="13318" width="19.109375" style="767" customWidth="1"/>
    <col min="13319" max="13319" width="19" style="767" customWidth="1"/>
    <col min="13320" max="13320" width="12.44140625" style="767" customWidth="1"/>
    <col min="13321" max="13321" width="12.6640625" style="767" customWidth="1"/>
    <col min="13322" max="13322" width="12.77734375" style="767" customWidth="1"/>
    <col min="13323" max="13323" width="17.109375" style="767" customWidth="1"/>
    <col min="13324" max="13324" width="12.88671875" style="767" customWidth="1"/>
    <col min="13325" max="13325" width="13.21875" style="767" customWidth="1"/>
    <col min="13326" max="13326" width="17.6640625" style="767" customWidth="1"/>
    <col min="13327" max="13327" width="12.109375" style="767" customWidth="1"/>
    <col min="13328" max="13569" width="8.88671875" style="767"/>
    <col min="13570" max="13570" width="22.33203125" style="767" customWidth="1"/>
    <col min="13571" max="13571" width="10.5546875" style="767" customWidth="1"/>
    <col min="13572" max="13572" width="31.33203125" style="767" customWidth="1"/>
    <col min="13573" max="13573" width="18.44140625" style="767" customWidth="1"/>
    <col min="13574" max="13574" width="19.109375" style="767" customWidth="1"/>
    <col min="13575" max="13575" width="19" style="767" customWidth="1"/>
    <col min="13576" max="13576" width="12.44140625" style="767" customWidth="1"/>
    <col min="13577" max="13577" width="12.6640625" style="767" customWidth="1"/>
    <col min="13578" max="13578" width="12.77734375" style="767" customWidth="1"/>
    <col min="13579" max="13579" width="17.109375" style="767" customWidth="1"/>
    <col min="13580" max="13580" width="12.88671875" style="767" customWidth="1"/>
    <col min="13581" max="13581" width="13.21875" style="767" customWidth="1"/>
    <col min="13582" max="13582" width="17.6640625" style="767" customWidth="1"/>
    <col min="13583" max="13583" width="12.109375" style="767" customWidth="1"/>
    <col min="13584" max="13825" width="8.88671875" style="767"/>
    <col min="13826" max="13826" width="22.33203125" style="767" customWidth="1"/>
    <col min="13827" max="13827" width="10.5546875" style="767" customWidth="1"/>
    <col min="13828" max="13828" width="31.33203125" style="767" customWidth="1"/>
    <col min="13829" max="13829" width="18.44140625" style="767" customWidth="1"/>
    <col min="13830" max="13830" width="19.109375" style="767" customWidth="1"/>
    <col min="13831" max="13831" width="19" style="767" customWidth="1"/>
    <col min="13832" max="13832" width="12.44140625" style="767" customWidth="1"/>
    <col min="13833" max="13833" width="12.6640625" style="767" customWidth="1"/>
    <col min="13834" max="13834" width="12.77734375" style="767" customWidth="1"/>
    <col min="13835" max="13835" width="17.109375" style="767" customWidth="1"/>
    <col min="13836" max="13836" width="12.88671875" style="767" customWidth="1"/>
    <col min="13837" max="13837" width="13.21875" style="767" customWidth="1"/>
    <col min="13838" max="13838" width="17.6640625" style="767" customWidth="1"/>
    <col min="13839" max="13839" width="12.109375" style="767" customWidth="1"/>
    <col min="13840" max="14081" width="8.88671875" style="767"/>
    <col min="14082" max="14082" width="22.33203125" style="767" customWidth="1"/>
    <col min="14083" max="14083" width="10.5546875" style="767" customWidth="1"/>
    <col min="14084" max="14084" width="31.33203125" style="767" customWidth="1"/>
    <col min="14085" max="14085" width="18.44140625" style="767" customWidth="1"/>
    <col min="14086" max="14086" width="19.109375" style="767" customWidth="1"/>
    <col min="14087" max="14087" width="19" style="767" customWidth="1"/>
    <col min="14088" max="14088" width="12.44140625" style="767" customWidth="1"/>
    <col min="14089" max="14089" width="12.6640625" style="767" customWidth="1"/>
    <col min="14090" max="14090" width="12.77734375" style="767" customWidth="1"/>
    <col min="14091" max="14091" width="17.109375" style="767" customWidth="1"/>
    <col min="14092" max="14092" width="12.88671875" style="767" customWidth="1"/>
    <col min="14093" max="14093" width="13.21875" style="767" customWidth="1"/>
    <col min="14094" max="14094" width="17.6640625" style="767" customWidth="1"/>
    <col min="14095" max="14095" width="12.109375" style="767" customWidth="1"/>
    <col min="14096" max="14337" width="8.88671875" style="767"/>
    <col min="14338" max="14338" width="22.33203125" style="767" customWidth="1"/>
    <col min="14339" max="14339" width="10.5546875" style="767" customWidth="1"/>
    <col min="14340" max="14340" width="31.33203125" style="767" customWidth="1"/>
    <col min="14341" max="14341" width="18.44140625" style="767" customWidth="1"/>
    <col min="14342" max="14342" width="19.109375" style="767" customWidth="1"/>
    <col min="14343" max="14343" width="19" style="767" customWidth="1"/>
    <col min="14344" max="14344" width="12.44140625" style="767" customWidth="1"/>
    <col min="14345" max="14345" width="12.6640625" style="767" customWidth="1"/>
    <col min="14346" max="14346" width="12.77734375" style="767" customWidth="1"/>
    <col min="14347" max="14347" width="17.109375" style="767" customWidth="1"/>
    <col min="14348" max="14348" width="12.88671875" style="767" customWidth="1"/>
    <col min="14349" max="14349" width="13.21875" style="767" customWidth="1"/>
    <col min="14350" max="14350" width="17.6640625" style="767" customWidth="1"/>
    <col min="14351" max="14351" width="12.109375" style="767" customWidth="1"/>
    <col min="14352" max="14593" width="8.88671875" style="767"/>
    <col min="14594" max="14594" width="22.33203125" style="767" customWidth="1"/>
    <col min="14595" max="14595" width="10.5546875" style="767" customWidth="1"/>
    <col min="14596" max="14596" width="31.33203125" style="767" customWidth="1"/>
    <col min="14597" max="14597" width="18.44140625" style="767" customWidth="1"/>
    <col min="14598" max="14598" width="19.109375" style="767" customWidth="1"/>
    <col min="14599" max="14599" width="19" style="767" customWidth="1"/>
    <col min="14600" max="14600" width="12.44140625" style="767" customWidth="1"/>
    <col min="14601" max="14601" width="12.6640625" style="767" customWidth="1"/>
    <col min="14602" max="14602" width="12.77734375" style="767" customWidth="1"/>
    <col min="14603" max="14603" width="17.109375" style="767" customWidth="1"/>
    <col min="14604" max="14604" width="12.88671875" style="767" customWidth="1"/>
    <col min="14605" max="14605" width="13.21875" style="767" customWidth="1"/>
    <col min="14606" max="14606" width="17.6640625" style="767" customWidth="1"/>
    <col min="14607" max="14607" width="12.109375" style="767" customWidth="1"/>
    <col min="14608" max="14849" width="8.88671875" style="767"/>
    <col min="14850" max="14850" width="22.33203125" style="767" customWidth="1"/>
    <col min="14851" max="14851" width="10.5546875" style="767" customWidth="1"/>
    <col min="14852" max="14852" width="31.33203125" style="767" customWidth="1"/>
    <col min="14853" max="14853" width="18.44140625" style="767" customWidth="1"/>
    <col min="14854" max="14854" width="19.109375" style="767" customWidth="1"/>
    <col min="14855" max="14855" width="19" style="767" customWidth="1"/>
    <col min="14856" max="14856" width="12.44140625" style="767" customWidth="1"/>
    <col min="14857" max="14857" width="12.6640625" style="767" customWidth="1"/>
    <col min="14858" max="14858" width="12.77734375" style="767" customWidth="1"/>
    <col min="14859" max="14859" width="17.109375" style="767" customWidth="1"/>
    <col min="14860" max="14860" width="12.88671875" style="767" customWidth="1"/>
    <col min="14861" max="14861" width="13.21875" style="767" customWidth="1"/>
    <col min="14862" max="14862" width="17.6640625" style="767" customWidth="1"/>
    <col min="14863" max="14863" width="12.109375" style="767" customWidth="1"/>
    <col min="14864" max="15105" width="8.88671875" style="767"/>
    <col min="15106" max="15106" width="22.33203125" style="767" customWidth="1"/>
    <col min="15107" max="15107" width="10.5546875" style="767" customWidth="1"/>
    <col min="15108" max="15108" width="31.33203125" style="767" customWidth="1"/>
    <col min="15109" max="15109" width="18.44140625" style="767" customWidth="1"/>
    <col min="15110" max="15110" width="19.109375" style="767" customWidth="1"/>
    <col min="15111" max="15111" width="19" style="767" customWidth="1"/>
    <col min="15112" max="15112" width="12.44140625" style="767" customWidth="1"/>
    <col min="15113" max="15113" width="12.6640625" style="767" customWidth="1"/>
    <col min="15114" max="15114" width="12.77734375" style="767" customWidth="1"/>
    <col min="15115" max="15115" width="17.109375" style="767" customWidth="1"/>
    <col min="15116" max="15116" width="12.88671875" style="767" customWidth="1"/>
    <col min="15117" max="15117" width="13.21875" style="767" customWidth="1"/>
    <col min="15118" max="15118" width="17.6640625" style="767" customWidth="1"/>
    <col min="15119" max="15119" width="12.109375" style="767" customWidth="1"/>
    <col min="15120" max="15361" width="8.88671875" style="767"/>
    <col min="15362" max="15362" width="22.33203125" style="767" customWidth="1"/>
    <col min="15363" max="15363" width="10.5546875" style="767" customWidth="1"/>
    <col min="15364" max="15364" width="31.33203125" style="767" customWidth="1"/>
    <col min="15365" max="15365" width="18.44140625" style="767" customWidth="1"/>
    <col min="15366" max="15366" width="19.109375" style="767" customWidth="1"/>
    <col min="15367" max="15367" width="19" style="767" customWidth="1"/>
    <col min="15368" max="15368" width="12.44140625" style="767" customWidth="1"/>
    <col min="15369" max="15369" width="12.6640625" style="767" customWidth="1"/>
    <col min="15370" max="15370" width="12.77734375" style="767" customWidth="1"/>
    <col min="15371" max="15371" width="17.109375" style="767" customWidth="1"/>
    <col min="15372" max="15372" width="12.88671875" style="767" customWidth="1"/>
    <col min="15373" max="15373" width="13.21875" style="767" customWidth="1"/>
    <col min="15374" max="15374" width="17.6640625" style="767" customWidth="1"/>
    <col min="15375" max="15375" width="12.109375" style="767" customWidth="1"/>
    <col min="15376" max="15617" width="8.88671875" style="767"/>
    <col min="15618" max="15618" width="22.33203125" style="767" customWidth="1"/>
    <col min="15619" max="15619" width="10.5546875" style="767" customWidth="1"/>
    <col min="15620" max="15620" width="31.33203125" style="767" customWidth="1"/>
    <col min="15621" max="15621" width="18.44140625" style="767" customWidth="1"/>
    <col min="15622" max="15622" width="19.109375" style="767" customWidth="1"/>
    <col min="15623" max="15623" width="19" style="767" customWidth="1"/>
    <col min="15624" max="15624" width="12.44140625" style="767" customWidth="1"/>
    <col min="15625" max="15625" width="12.6640625" style="767" customWidth="1"/>
    <col min="15626" max="15626" width="12.77734375" style="767" customWidth="1"/>
    <col min="15627" max="15627" width="17.109375" style="767" customWidth="1"/>
    <col min="15628" max="15628" width="12.88671875" style="767" customWidth="1"/>
    <col min="15629" max="15629" width="13.21875" style="767" customWidth="1"/>
    <col min="15630" max="15630" width="17.6640625" style="767" customWidth="1"/>
    <col min="15631" max="15631" width="12.109375" style="767" customWidth="1"/>
    <col min="15632" max="15873" width="8.88671875" style="767"/>
    <col min="15874" max="15874" width="22.33203125" style="767" customWidth="1"/>
    <col min="15875" max="15875" width="10.5546875" style="767" customWidth="1"/>
    <col min="15876" max="15876" width="31.33203125" style="767" customWidth="1"/>
    <col min="15877" max="15877" width="18.44140625" style="767" customWidth="1"/>
    <col min="15878" max="15878" width="19.109375" style="767" customWidth="1"/>
    <col min="15879" max="15879" width="19" style="767" customWidth="1"/>
    <col min="15880" max="15880" width="12.44140625" style="767" customWidth="1"/>
    <col min="15881" max="15881" width="12.6640625" style="767" customWidth="1"/>
    <col min="15882" max="15882" width="12.77734375" style="767" customWidth="1"/>
    <col min="15883" max="15883" width="17.109375" style="767" customWidth="1"/>
    <col min="15884" max="15884" width="12.88671875" style="767" customWidth="1"/>
    <col min="15885" max="15885" width="13.21875" style="767" customWidth="1"/>
    <col min="15886" max="15886" width="17.6640625" style="767" customWidth="1"/>
    <col min="15887" max="15887" width="12.109375" style="767" customWidth="1"/>
    <col min="15888" max="16129" width="8.88671875" style="767"/>
    <col min="16130" max="16130" width="22.33203125" style="767" customWidth="1"/>
    <col min="16131" max="16131" width="10.5546875" style="767" customWidth="1"/>
    <col min="16132" max="16132" width="31.33203125" style="767" customWidth="1"/>
    <col min="16133" max="16133" width="18.44140625" style="767" customWidth="1"/>
    <col min="16134" max="16134" width="19.109375" style="767" customWidth="1"/>
    <col min="16135" max="16135" width="19" style="767" customWidth="1"/>
    <col min="16136" max="16136" width="12.44140625" style="767" customWidth="1"/>
    <col min="16137" max="16137" width="12.6640625" style="767" customWidth="1"/>
    <col min="16138" max="16138" width="12.77734375" style="767" customWidth="1"/>
    <col min="16139" max="16139" width="17.109375" style="767" customWidth="1"/>
    <col min="16140" max="16140" width="12.88671875" style="767" customWidth="1"/>
    <col min="16141" max="16141" width="13.21875" style="767" customWidth="1"/>
    <col min="16142" max="16142" width="17.6640625" style="767" customWidth="1"/>
    <col min="16143" max="16143" width="12.109375" style="767" customWidth="1"/>
    <col min="16144" max="16384" width="8.88671875" style="767"/>
  </cols>
  <sheetData>
    <row r="1" spans="1:14" ht="28.2" customHeight="1">
      <c r="A1" s="1300" t="s">
        <v>655</v>
      </c>
      <c r="B1" s="1300"/>
      <c r="C1" s="1300"/>
      <c r="D1" s="1300"/>
      <c r="E1" s="1300"/>
      <c r="F1" s="1300"/>
      <c r="G1" s="1300"/>
      <c r="H1" s="1300"/>
      <c r="I1" s="1300"/>
      <c r="J1" s="1300"/>
      <c r="K1" s="1300"/>
      <c r="L1" s="1300"/>
      <c r="M1" s="1300"/>
      <c r="N1" s="1300"/>
    </row>
    <row r="2" spans="1:14" ht="49.2" customHeight="1">
      <c r="A2" s="814" t="s">
        <v>635</v>
      </c>
      <c r="B2" s="814" t="s">
        <v>636</v>
      </c>
      <c r="C2" s="815" t="s">
        <v>637</v>
      </c>
      <c r="D2" s="815" t="s">
        <v>638</v>
      </c>
      <c r="E2" s="815" t="s">
        <v>670</v>
      </c>
      <c r="F2" s="815" t="s">
        <v>669</v>
      </c>
      <c r="G2" s="817"/>
      <c r="H2" s="1301" t="s">
        <v>644</v>
      </c>
      <c r="I2" s="1302"/>
      <c r="J2" s="776">
        <f>(SUM(J5:J11)/365)</f>
        <v>0</v>
      </c>
      <c r="K2" s="1309" t="s">
        <v>649</v>
      </c>
      <c r="L2" s="1299" t="s">
        <v>650</v>
      </c>
      <c r="M2" s="792">
        <f>SUM(M5:M11)</f>
        <v>0</v>
      </c>
      <c r="N2" s="1299" t="s">
        <v>639</v>
      </c>
    </row>
    <row r="3" spans="1:14" ht="23.4" customHeight="1">
      <c r="A3" s="784">
        <v>0</v>
      </c>
      <c r="B3" s="784">
        <v>0</v>
      </c>
      <c r="C3" s="784">
        <v>0</v>
      </c>
      <c r="D3" s="784">
        <v>0</v>
      </c>
      <c r="E3" s="785">
        <f>2319564.2</f>
        <v>2319564.2000000002</v>
      </c>
      <c r="F3" s="818">
        <f>(E3/20)*12</f>
        <v>1391738.52</v>
      </c>
      <c r="G3" s="824"/>
      <c r="H3" s="1303"/>
      <c r="I3" s="1304"/>
      <c r="J3" s="793" t="s">
        <v>645</v>
      </c>
      <c r="K3" s="1310"/>
      <c r="L3" s="1299"/>
      <c r="M3" s="794" t="s">
        <v>659</v>
      </c>
      <c r="N3" s="1299"/>
    </row>
    <row r="4" spans="1:14" ht="32.4" customHeight="1">
      <c r="A4" s="1317"/>
      <c r="B4" s="1318"/>
      <c r="C4" s="1318"/>
      <c r="D4" s="1318"/>
      <c r="E4" s="1318"/>
      <c r="F4" s="1318"/>
      <c r="G4" s="825"/>
      <c r="H4" s="822" t="s">
        <v>646</v>
      </c>
      <c r="I4" s="791" t="s">
        <v>647</v>
      </c>
      <c r="J4" s="816" t="s">
        <v>648</v>
      </c>
      <c r="K4" s="1311"/>
      <c r="L4" s="1299"/>
      <c r="M4" s="513" t="s">
        <v>658</v>
      </c>
      <c r="N4" s="1299"/>
    </row>
    <row r="5" spans="1:14" ht="31.2" customHeight="1">
      <c r="A5" s="790" t="s">
        <v>656</v>
      </c>
      <c r="B5" s="790" t="s">
        <v>657</v>
      </c>
      <c r="C5" s="786" t="s">
        <v>651</v>
      </c>
      <c r="D5" s="789" t="s">
        <v>652</v>
      </c>
      <c r="E5" s="1315" t="e">
        <f>(A3+A6)/(B3+B6)</f>
        <v>#DIV/0!</v>
      </c>
      <c r="F5" s="1316"/>
      <c r="G5" s="826"/>
      <c r="H5" s="823"/>
      <c r="I5" s="803"/>
      <c r="J5" s="778">
        <f t="shared" ref="J5:J11" si="0">I5-H5</f>
        <v>0</v>
      </c>
      <c r="K5" s="809"/>
      <c r="L5" s="802"/>
      <c r="M5" s="810"/>
      <c r="N5" s="811"/>
    </row>
    <row r="6" spans="1:14" ht="23.4" customHeight="1">
      <c r="A6" s="787">
        <v>0</v>
      </c>
      <c r="B6" s="787">
        <v>0</v>
      </c>
      <c r="C6" s="787">
        <v>0</v>
      </c>
      <c r="D6" s="789" t="s">
        <v>653</v>
      </c>
      <c r="E6" s="1315" t="e">
        <f>(C6)/(B3+B6)</f>
        <v>#DIV/0!</v>
      </c>
      <c r="F6" s="1316"/>
      <c r="G6" s="826"/>
      <c r="H6" s="823"/>
      <c r="I6" s="803"/>
      <c r="J6" s="778">
        <f t="shared" si="0"/>
        <v>0</v>
      </c>
      <c r="K6" s="809"/>
      <c r="L6" s="802"/>
      <c r="M6" s="810"/>
      <c r="N6" s="811"/>
    </row>
    <row r="7" spans="1:14" ht="25.8" customHeight="1">
      <c r="D7" s="789" t="s">
        <v>654</v>
      </c>
      <c r="E7" s="1316" t="e">
        <f>A3/B3</f>
        <v>#DIV/0!</v>
      </c>
      <c r="F7" s="1319"/>
      <c r="G7" s="826"/>
      <c r="H7" s="823"/>
      <c r="I7" s="803"/>
      <c r="J7" s="778">
        <f t="shared" si="0"/>
        <v>0</v>
      </c>
      <c r="K7" s="809"/>
      <c r="L7" s="802"/>
      <c r="M7" s="810"/>
      <c r="N7" s="811"/>
    </row>
    <row r="8" spans="1:14" ht="25.8" customHeight="1">
      <c r="E8" s="807" t="s">
        <v>665</v>
      </c>
      <c r="F8" s="819" t="s">
        <v>666</v>
      </c>
      <c r="G8" s="826"/>
      <c r="H8" s="823"/>
      <c r="I8" s="803"/>
      <c r="J8" s="778">
        <f t="shared" si="0"/>
        <v>0</v>
      </c>
      <c r="K8" s="809"/>
      <c r="L8" s="788"/>
      <c r="M8" s="810"/>
      <c r="N8" s="811"/>
    </row>
    <row r="9" spans="1:14" ht="32.4" customHeight="1">
      <c r="A9" s="1312" t="s">
        <v>671</v>
      </c>
      <c r="B9" s="1313"/>
      <c r="C9" s="1314"/>
      <c r="D9" s="806">
        <f>(A3-B3)/F3</f>
        <v>0</v>
      </c>
      <c r="E9" s="784">
        <f>A3-B3</f>
        <v>0</v>
      </c>
      <c r="F9" s="820">
        <f>F3*16.66%</f>
        <v>231863.63743199999</v>
      </c>
      <c r="G9" s="825"/>
      <c r="H9" s="823"/>
      <c r="I9" s="803"/>
      <c r="J9" s="778">
        <f t="shared" si="0"/>
        <v>0</v>
      </c>
      <c r="K9" s="809"/>
      <c r="L9" s="788"/>
      <c r="M9" s="810"/>
      <c r="N9" s="811"/>
    </row>
    <row r="10" spans="1:14" ht="28.8" customHeight="1">
      <c r="A10" s="812"/>
      <c r="B10" s="812"/>
      <c r="C10" s="812"/>
      <c r="D10" s="799"/>
      <c r="E10" s="808" t="s">
        <v>668</v>
      </c>
      <c r="F10" s="821" t="s">
        <v>667</v>
      </c>
      <c r="G10" s="827"/>
      <c r="H10" s="823"/>
      <c r="I10" s="803"/>
      <c r="J10" s="778">
        <f t="shared" si="0"/>
        <v>0</v>
      </c>
      <c r="K10" s="809"/>
      <c r="L10" s="788"/>
      <c r="M10" s="810"/>
      <c r="N10" s="811"/>
    </row>
    <row r="11" spans="1:14" ht="31.2" customHeight="1">
      <c r="A11" s="1312" t="s">
        <v>672</v>
      </c>
      <c r="B11" s="1313"/>
      <c r="C11" s="1314"/>
      <c r="D11" s="806">
        <f>C3/F3</f>
        <v>0</v>
      </c>
      <c r="E11" s="784">
        <f>C3</f>
        <v>0</v>
      </c>
      <c r="F11" s="820">
        <f>F3*10%</f>
        <v>139173.85200000001</v>
      </c>
      <c r="G11" s="828"/>
      <c r="H11" s="823"/>
      <c r="I11" s="803"/>
      <c r="J11" s="779">
        <f t="shared" si="0"/>
        <v>0</v>
      </c>
      <c r="K11" s="809"/>
      <c r="L11" s="788"/>
      <c r="M11" s="810"/>
      <c r="N11" s="811"/>
    </row>
    <row r="12" spans="1:14" ht="13.8">
      <c r="A12" s="813"/>
      <c r="B12" s="813"/>
      <c r="C12" s="813"/>
      <c r="D12" s="771"/>
      <c r="E12" s="767"/>
      <c r="I12" s="782"/>
      <c r="L12" s="770"/>
      <c r="M12" s="783"/>
    </row>
    <row r="13" spans="1:14" ht="35.4" customHeight="1">
      <c r="A13" s="1312" t="s">
        <v>640</v>
      </c>
      <c r="B13" s="1313"/>
      <c r="C13" s="1314"/>
      <c r="D13" s="772" t="e">
        <f>((D3-E18)/D3)</f>
        <v>#DIV/0!</v>
      </c>
      <c r="E13" s="767"/>
      <c r="I13" s="782"/>
      <c r="L13" s="767"/>
    </row>
    <row r="14" spans="1:14">
      <c r="A14" s="812"/>
      <c r="B14" s="812"/>
      <c r="C14" s="812"/>
      <c r="D14" s="770"/>
      <c r="E14" s="767"/>
      <c r="I14" s="782"/>
      <c r="L14" s="767"/>
    </row>
    <row r="15" spans="1:14" ht="52.2" customHeight="1">
      <c r="A15" s="1312" t="s">
        <v>673</v>
      </c>
      <c r="B15" s="1313"/>
      <c r="C15" s="1314"/>
      <c r="D15" s="773" t="e">
        <f>(C3/E18)*12</f>
        <v>#DIV/0!</v>
      </c>
      <c r="E15" s="767"/>
      <c r="I15" s="782"/>
      <c r="L15" s="767"/>
    </row>
    <row r="16" spans="1:14" ht="21.6" customHeight="1">
      <c r="A16" s="768"/>
      <c r="B16" s="769"/>
      <c r="C16" s="797"/>
      <c r="E16" s="767"/>
      <c r="I16" s="782"/>
      <c r="L16" s="767"/>
    </row>
    <row r="17" spans="1:12" ht="28.8" customHeight="1">
      <c r="A17" s="777" t="s">
        <v>641</v>
      </c>
      <c r="B17" s="777" t="s">
        <v>663</v>
      </c>
      <c r="C17" s="777" t="s">
        <v>642</v>
      </c>
      <c r="J17" s="782"/>
      <c r="L17" s="767"/>
    </row>
    <row r="18" spans="1:12" ht="13.2" customHeight="1">
      <c r="A18" s="798"/>
      <c r="B18" s="804"/>
      <c r="C18" s="804"/>
      <c r="D18" s="1305" t="s">
        <v>643</v>
      </c>
      <c r="E18" s="1307">
        <f>SUM(A18:A34)</f>
        <v>0</v>
      </c>
      <c r="J18" s="782"/>
      <c r="L18" s="767"/>
    </row>
    <row r="19" spans="1:12">
      <c r="A19" s="798"/>
      <c r="B19" s="798"/>
      <c r="C19" s="798"/>
      <c r="D19" s="1306"/>
      <c r="E19" s="1308"/>
      <c r="L19" s="767"/>
    </row>
    <row r="20" spans="1:12">
      <c r="A20" s="798"/>
      <c r="B20" s="798"/>
      <c r="C20" s="798"/>
      <c r="D20" s="829"/>
      <c r="L20" s="767"/>
    </row>
    <row r="21" spans="1:12" ht="13.2" customHeight="1">
      <c r="A21" s="798"/>
      <c r="B21" s="805"/>
      <c r="C21" s="798"/>
      <c r="D21" s="1321"/>
      <c r="E21" s="1322"/>
      <c r="I21" s="775"/>
      <c r="L21" s="767"/>
    </row>
    <row r="22" spans="1:12">
      <c r="A22" s="798"/>
      <c r="B22" s="798"/>
      <c r="C22" s="798"/>
      <c r="D22" s="1321"/>
      <c r="E22" s="1322"/>
      <c r="L22" s="767"/>
    </row>
    <row r="23" spans="1:12">
      <c r="A23" s="798"/>
      <c r="B23" s="798"/>
      <c r="C23" s="798"/>
      <c r="L23" s="767"/>
    </row>
    <row r="24" spans="1:12">
      <c r="A24" s="798"/>
      <c r="B24" s="798"/>
      <c r="C24" s="798"/>
      <c r="E24" s="767"/>
      <c r="L24" s="767"/>
    </row>
    <row r="25" spans="1:12">
      <c r="A25" s="798"/>
      <c r="B25" s="798"/>
      <c r="C25" s="798"/>
      <c r="E25" s="767"/>
      <c r="L25" s="1320"/>
    </row>
    <row r="26" spans="1:12">
      <c r="A26" s="798"/>
      <c r="B26" s="798"/>
      <c r="C26" s="798"/>
      <c r="E26" s="767"/>
      <c r="L26" s="1320"/>
    </row>
    <row r="27" spans="1:12">
      <c r="A27" s="798"/>
      <c r="B27" s="798"/>
      <c r="C27" s="798"/>
      <c r="E27" s="767"/>
      <c r="L27" s="1320"/>
    </row>
    <row r="28" spans="1:12">
      <c r="A28" s="798"/>
      <c r="B28" s="798"/>
      <c r="C28" s="798"/>
      <c r="E28" s="767"/>
      <c r="L28" s="767"/>
    </row>
    <row r="29" spans="1:12">
      <c r="A29" s="798"/>
      <c r="B29" s="798"/>
      <c r="C29" s="798"/>
      <c r="E29" s="767"/>
      <c r="L29" s="767"/>
    </row>
    <row r="30" spans="1:12">
      <c r="A30" s="798"/>
      <c r="B30" s="798"/>
      <c r="C30" s="798"/>
      <c r="E30" s="767"/>
      <c r="L30" s="767"/>
    </row>
    <row r="31" spans="1:12">
      <c r="A31" s="798"/>
      <c r="B31" s="798"/>
      <c r="C31" s="798"/>
      <c r="E31" s="767"/>
      <c r="L31" s="767"/>
    </row>
    <row r="32" spans="1:12">
      <c r="A32" s="798"/>
      <c r="B32" s="798"/>
      <c r="C32" s="798"/>
      <c r="E32" s="767"/>
      <c r="L32" s="767"/>
    </row>
    <row r="33" spans="1:12">
      <c r="A33" s="798"/>
      <c r="B33" s="798"/>
      <c r="C33" s="798"/>
      <c r="E33" s="767"/>
      <c r="L33" s="767"/>
    </row>
    <row r="34" spans="1:12">
      <c r="A34" s="798"/>
      <c r="B34" s="798"/>
      <c r="C34" s="798"/>
      <c r="E34" s="767"/>
      <c r="L34" s="767"/>
    </row>
    <row r="35" spans="1:12">
      <c r="A35" s="774"/>
      <c r="B35" s="774"/>
      <c r="C35" s="774"/>
      <c r="L35" s="767"/>
    </row>
    <row r="36" spans="1:12">
      <c r="L36" s="767"/>
    </row>
    <row r="37" spans="1:12">
      <c r="L37" s="767"/>
    </row>
    <row r="39" spans="1:12">
      <c r="D39" s="780"/>
      <c r="E39" s="781"/>
    </row>
    <row r="40" spans="1:12">
      <c r="L40" s="767"/>
    </row>
  </sheetData>
  <mergeCells count="18">
    <mergeCell ref="L25:L27"/>
    <mergeCell ref="D21:D22"/>
    <mergeCell ref="E21:E22"/>
    <mergeCell ref="N2:N4"/>
    <mergeCell ref="A1:N1"/>
    <mergeCell ref="H2:I3"/>
    <mergeCell ref="D18:D19"/>
    <mergeCell ref="E18:E19"/>
    <mergeCell ref="K2:K4"/>
    <mergeCell ref="L2:L4"/>
    <mergeCell ref="A9:C9"/>
    <mergeCell ref="A11:C11"/>
    <mergeCell ref="A13:C13"/>
    <mergeCell ref="A15:C15"/>
    <mergeCell ref="E5:F5"/>
    <mergeCell ref="A4:F4"/>
    <mergeCell ref="E6:F6"/>
    <mergeCell ref="E7:F7"/>
  </mergeCells>
  <conditionalFormatting sqref="D9">
    <cfRule type="cellIs" dxfId="10" priority="27" operator="lessThan">
      <formula>0.1666</formula>
    </cfRule>
  </conditionalFormatting>
  <conditionalFormatting sqref="D11">
    <cfRule type="cellIs" dxfId="9" priority="26" operator="lessThan">
      <formula>0.1</formula>
    </cfRule>
  </conditionalFormatting>
  <conditionalFormatting sqref="D15">
    <cfRule type="cellIs" dxfId="8" priority="25" operator="lessThan">
      <formula>1</formula>
    </cfRule>
  </conditionalFormatting>
  <conditionalFormatting sqref="D13">
    <cfRule type="cellIs" dxfId="7" priority="23" operator="lessThan">
      <formula>0</formula>
    </cfRule>
    <cfRule type="cellIs" dxfId="6" priority="24" operator="greaterThan">
      <formula>0.1</formula>
    </cfRule>
  </conditionalFormatting>
  <conditionalFormatting sqref="J2">
    <cfRule type="cellIs" dxfId="5" priority="9" operator="lessThan">
      <formula>3</formula>
    </cfRule>
  </conditionalFormatting>
  <conditionalFormatting sqref="M2">
    <cfRule type="cellIs" dxfId="4" priority="3" operator="greaterThan">
      <formula>26</formula>
    </cfRule>
    <cfRule type="cellIs" dxfId="3" priority="8" operator="lessThan">
      <formula>27</formula>
    </cfRule>
  </conditionalFormatting>
  <conditionalFormatting sqref="E9">
    <cfRule type="cellIs" dxfId="2" priority="5" operator="lessThan">
      <formula>$F$9</formula>
    </cfRule>
  </conditionalFormatting>
  <conditionalFormatting sqref="E11">
    <cfRule type="cellIs" dxfId="1" priority="4" operator="lessThan">
      <formula>$F$11</formula>
    </cfRule>
  </conditionalFormatting>
  <conditionalFormatting sqref="E5:F7">
    <cfRule type="cellIs" dxfId="0" priority="1" operator="lessThan">
      <formula>1.01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filterMode="1">
    <tabColor rgb="FF00B0F0"/>
  </sheetPr>
  <dimension ref="A1:IW104"/>
  <sheetViews>
    <sheetView showGridLines="0" topLeftCell="A46" zoomScalePageLayoutView="60" workbookViewId="0">
      <selection activeCell="M69" sqref="M69"/>
    </sheetView>
  </sheetViews>
  <sheetFormatPr defaultColWidth="9.109375" defaultRowHeight="13.8"/>
  <cols>
    <col min="1" max="1" width="11.88671875" style="299"/>
    <col min="2" max="2" width="10.6640625" style="377"/>
    <col min="3" max="3" width="46.88671875" style="299" customWidth="1"/>
    <col min="4" max="4" width="12.6640625" style="354" customWidth="1"/>
    <col min="5" max="5" width="13" style="355" customWidth="1"/>
    <col min="6" max="6" width="16.88671875" style="355"/>
    <col min="7" max="7" width="13.33203125" style="355" customWidth="1"/>
    <col min="8" max="8" width="12.33203125" style="355" customWidth="1"/>
    <col min="9" max="9" width="10.109375" style="355" customWidth="1"/>
    <col min="10" max="10" width="10.5546875" style="377" customWidth="1"/>
    <col min="11" max="11" width="12.6640625" style="299"/>
    <col min="12" max="16" width="9.109375" style="299"/>
    <col min="17" max="17" width="19.88671875" style="299"/>
    <col min="18" max="257" width="9.109375" style="299"/>
    <col min="258" max="16384" width="9.109375" style="300"/>
  </cols>
  <sheetData>
    <row r="1" spans="1:10" ht="36.6" customHeight="1">
      <c r="A1" s="296" t="s">
        <v>143</v>
      </c>
      <c r="B1" s="297" t="s">
        <v>12</v>
      </c>
      <c r="C1" s="297" t="s">
        <v>96</v>
      </c>
      <c r="D1" s="275" t="s">
        <v>13</v>
      </c>
      <c r="E1" s="298" t="s">
        <v>166</v>
      </c>
      <c r="F1" s="296" t="s">
        <v>167</v>
      </c>
      <c r="G1" s="296" t="s">
        <v>168</v>
      </c>
      <c r="H1" s="296" t="s">
        <v>169</v>
      </c>
      <c r="I1" s="296" t="s">
        <v>170</v>
      </c>
      <c r="J1" s="296" t="s">
        <v>171</v>
      </c>
    </row>
    <row r="2" spans="1:10" ht="15" customHeight="1">
      <c r="A2" s="301" t="s">
        <v>174</v>
      </c>
      <c r="B2" s="302" t="s">
        <v>19</v>
      </c>
      <c r="C2" s="303" t="s">
        <v>175</v>
      </c>
      <c r="D2" s="276">
        <f>202.3+135.88+221.1+81.81+16.5+221.88+74+1124.86+488.98+280.42-127.7-229.4</f>
        <v>2490.63</v>
      </c>
      <c r="E2" s="304">
        <v>800</v>
      </c>
      <c r="F2" s="305">
        <f t="shared" ref="F2:F12" si="0">D2/E2</f>
        <v>3.1132875000000002</v>
      </c>
      <c r="G2" s="1323">
        <f>SUM(F2:F6)</f>
        <v>4.4748130555555559</v>
      </c>
      <c r="H2" s="1323">
        <f>SUM(G2:G14)</f>
        <v>10.212379313333333</v>
      </c>
      <c r="I2" s="1323">
        <v>10</v>
      </c>
      <c r="J2" s="306" t="s">
        <v>18</v>
      </c>
    </row>
    <row r="3" spans="1:10" ht="15" customHeight="1">
      <c r="A3" s="301" t="s">
        <v>174</v>
      </c>
      <c r="B3" s="302" t="s">
        <v>19</v>
      </c>
      <c r="C3" s="307" t="s">
        <v>454</v>
      </c>
      <c r="D3" s="277">
        <f>127.7-9.92</f>
        <v>117.78</v>
      </c>
      <c r="E3" s="304">
        <v>200</v>
      </c>
      <c r="F3" s="305">
        <f t="shared" si="0"/>
        <v>0.58889999999999998</v>
      </c>
      <c r="G3" s="1323"/>
      <c r="H3" s="1323"/>
      <c r="I3" s="1323"/>
      <c r="J3" s="306" t="s">
        <v>18</v>
      </c>
    </row>
    <row r="4" spans="1:10" ht="12" customHeight="1">
      <c r="A4" s="301" t="s">
        <v>174</v>
      </c>
      <c r="B4" s="302" t="s">
        <v>19</v>
      </c>
      <c r="C4" s="303" t="s">
        <v>177</v>
      </c>
      <c r="D4" s="276">
        <v>212.21</v>
      </c>
      <c r="E4" s="304">
        <v>360</v>
      </c>
      <c r="F4" s="305">
        <f t="shared" si="0"/>
        <v>0.58947222222222229</v>
      </c>
      <c r="G4" s="1323"/>
      <c r="H4" s="1323"/>
      <c r="I4" s="1323"/>
      <c r="J4" s="306" t="s">
        <v>18</v>
      </c>
    </row>
    <row r="5" spans="1:10" ht="12" customHeight="1">
      <c r="A5" s="301" t="s">
        <v>174</v>
      </c>
      <c r="B5" s="302" t="s">
        <v>19</v>
      </c>
      <c r="C5" s="303" t="s">
        <v>202</v>
      </c>
      <c r="D5" s="276">
        <v>149.32</v>
      </c>
      <c r="E5" s="304">
        <v>1000</v>
      </c>
      <c r="F5" s="305">
        <f>D5/E5</f>
        <v>0.14931999999999998</v>
      </c>
      <c r="G5" s="1323"/>
      <c r="H5" s="1323"/>
      <c r="I5" s="1323"/>
      <c r="J5" s="306" t="s">
        <v>18</v>
      </c>
    </row>
    <row r="6" spans="1:10" ht="12" customHeight="1">
      <c r="A6" s="301" t="s">
        <v>129</v>
      </c>
      <c r="B6" s="302" t="s">
        <v>19</v>
      </c>
      <c r="C6" s="303" t="s">
        <v>449</v>
      </c>
      <c r="D6" s="276">
        <v>50.75</v>
      </c>
      <c r="E6" s="304">
        <v>1500</v>
      </c>
      <c r="F6" s="305">
        <f>D6/E6</f>
        <v>3.3833333333333333E-2</v>
      </c>
      <c r="G6" s="1323"/>
      <c r="H6" s="1323"/>
      <c r="I6" s="1323"/>
      <c r="J6" s="306" t="s">
        <v>18</v>
      </c>
    </row>
    <row r="7" spans="1:10" ht="12" customHeight="1">
      <c r="A7" s="301" t="s">
        <v>174</v>
      </c>
      <c r="B7" s="301" t="s">
        <v>22</v>
      </c>
      <c r="C7" s="303" t="s">
        <v>180</v>
      </c>
      <c r="D7" s="278">
        <v>574.62</v>
      </c>
      <c r="E7" s="304">
        <v>1800</v>
      </c>
      <c r="F7" s="308">
        <f t="shared" si="0"/>
        <v>0.31923333333333331</v>
      </c>
      <c r="G7" s="1323">
        <f>SUM(F7:F12)</f>
        <v>5.4725385777777786</v>
      </c>
      <c r="H7" s="1323"/>
      <c r="I7" s="1323"/>
      <c r="J7" s="306" t="s">
        <v>18</v>
      </c>
    </row>
    <row r="8" spans="1:10" ht="25.2" customHeight="1">
      <c r="A8" s="301" t="s">
        <v>174</v>
      </c>
      <c r="B8" s="301" t="s">
        <v>22</v>
      </c>
      <c r="C8" s="303" t="s">
        <v>181</v>
      </c>
      <c r="D8" s="278">
        <v>14581.2</v>
      </c>
      <c r="E8" s="309">
        <v>6000</v>
      </c>
      <c r="F8" s="308">
        <f t="shared" si="0"/>
        <v>2.4302000000000001</v>
      </c>
      <c r="G8" s="1323"/>
      <c r="H8" s="1323"/>
      <c r="I8" s="1323"/>
      <c r="J8" s="306" t="s">
        <v>18</v>
      </c>
    </row>
    <row r="9" spans="1:10" ht="12" customHeight="1">
      <c r="A9" s="301" t="s">
        <v>174</v>
      </c>
      <c r="B9" s="301" t="s">
        <v>22</v>
      </c>
      <c r="C9" s="303" t="s">
        <v>182</v>
      </c>
      <c r="D9" s="278">
        <v>736</v>
      </c>
      <c r="E9" s="304">
        <v>1800</v>
      </c>
      <c r="F9" s="308">
        <f t="shared" si="0"/>
        <v>0.40888888888888891</v>
      </c>
      <c r="G9" s="1323"/>
      <c r="H9" s="1323"/>
      <c r="I9" s="1323"/>
      <c r="J9" s="306" t="s">
        <v>18</v>
      </c>
    </row>
    <row r="10" spans="1:10" ht="24" customHeight="1">
      <c r="A10" s="301" t="s">
        <v>174</v>
      </c>
      <c r="B10" s="301" t="s">
        <v>22</v>
      </c>
      <c r="C10" s="303" t="s">
        <v>183</v>
      </c>
      <c r="D10" s="278">
        <f>336+2981.38</f>
        <v>3317.38</v>
      </c>
      <c r="E10" s="304">
        <v>1800</v>
      </c>
      <c r="F10" s="308">
        <f t="shared" si="0"/>
        <v>1.842988888888889</v>
      </c>
      <c r="G10" s="1323"/>
      <c r="H10" s="1323"/>
      <c r="I10" s="1323"/>
      <c r="J10" s="306" t="s">
        <v>18</v>
      </c>
    </row>
    <row r="11" spans="1:10" ht="18.75" customHeight="1">
      <c r="A11" s="301" t="s">
        <v>174</v>
      </c>
      <c r="B11" s="301" t="s">
        <v>22</v>
      </c>
      <c r="C11" s="310" t="s">
        <v>224</v>
      </c>
      <c r="D11" s="278">
        <v>1260</v>
      </c>
      <c r="E11" s="311">
        <v>2700</v>
      </c>
      <c r="F11" s="308">
        <f t="shared" si="0"/>
        <v>0.46666666666666667</v>
      </c>
      <c r="G11" s="1323"/>
      <c r="H11" s="1323"/>
      <c r="I11" s="1323"/>
      <c r="J11" s="306" t="s">
        <v>18</v>
      </c>
    </row>
    <row r="12" spans="1:10" ht="25.5" customHeight="1">
      <c r="A12" s="301" t="s">
        <v>174</v>
      </c>
      <c r="B12" s="301" t="s">
        <v>22</v>
      </c>
      <c r="C12" s="312" t="s">
        <v>451</v>
      </c>
      <c r="D12" s="278">
        <v>456.08</v>
      </c>
      <c r="E12" s="309">
        <v>100000</v>
      </c>
      <c r="F12" s="308">
        <f t="shared" si="0"/>
        <v>4.5608000000000003E-3</v>
      </c>
      <c r="G12" s="1323"/>
      <c r="H12" s="1323"/>
      <c r="I12" s="1323"/>
      <c r="J12" s="306" t="s">
        <v>18</v>
      </c>
    </row>
    <row r="13" spans="1:10" ht="17.399999999999999" customHeight="1">
      <c r="A13" s="301" t="s">
        <v>174</v>
      </c>
      <c r="B13" s="313" t="s">
        <v>189</v>
      </c>
      <c r="C13" s="310" t="s">
        <v>190</v>
      </c>
      <c r="D13" s="279">
        <f>496.65-21.69</f>
        <v>474.96</v>
      </c>
      <c r="E13" s="304">
        <v>300</v>
      </c>
      <c r="F13" s="314">
        <f>D13*0.000279</f>
        <v>0.13251383999999999</v>
      </c>
      <c r="G13" s="1323">
        <f>SUM(F13:F14)</f>
        <v>0.26502767999999999</v>
      </c>
      <c r="H13" s="1323"/>
      <c r="I13" s="1323"/>
      <c r="J13" s="306" t="s">
        <v>18</v>
      </c>
    </row>
    <row r="14" spans="1:10" ht="12" customHeight="1">
      <c r="A14" s="301" t="s">
        <v>174</v>
      </c>
      <c r="B14" s="313" t="s">
        <v>191</v>
      </c>
      <c r="C14" s="310" t="s">
        <v>190</v>
      </c>
      <c r="D14" s="279">
        <f>496.65-21.69</f>
        <v>474.96</v>
      </c>
      <c r="E14" s="304">
        <v>300</v>
      </c>
      <c r="F14" s="314">
        <f>D14*0.000279</f>
        <v>0.13251383999999999</v>
      </c>
      <c r="G14" s="1323"/>
      <c r="H14" s="1323"/>
      <c r="I14" s="1323"/>
      <c r="J14" s="306" t="s">
        <v>18</v>
      </c>
    </row>
    <row r="15" spans="1:10" ht="12" customHeight="1">
      <c r="A15" s="315" t="s">
        <v>192</v>
      </c>
      <c r="B15" s="316" t="s">
        <v>19</v>
      </c>
      <c r="C15" s="317" t="s">
        <v>175</v>
      </c>
      <c r="D15" s="280">
        <f>372.4+2+50</f>
        <v>424.4</v>
      </c>
      <c r="E15" s="318">
        <v>800</v>
      </c>
      <c r="F15" s="318">
        <f>D15/E15</f>
        <v>0.53049999999999997</v>
      </c>
      <c r="G15" s="319">
        <f>SUM(F15:F15)</f>
        <v>0.53049999999999997</v>
      </c>
      <c r="H15" s="1324">
        <f>SUM(G15:G20)</f>
        <v>0.75393622222222223</v>
      </c>
      <c r="I15" s="1324">
        <v>1</v>
      </c>
      <c r="J15" s="315" t="s">
        <v>18</v>
      </c>
    </row>
    <row r="16" spans="1:10" ht="13.5" customHeight="1">
      <c r="A16" s="315" t="s">
        <v>192</v>
      </c>
      <c r="B16" s="316" t="s">
        <v>19</v>
      </c>
      <c r="C16" s="317" t="s">
        <v>455</v>
      </c>
      <c r="D16" s="281">
        <f>18.3</f>
        <v>18.3</v>
      </c>
      <c r="E16" s="318">
        <v>200</v>
      </c>
      <c r="F16" s="318">
        <f>D16/E16</f>
        <v>9.1499999999999998E-2</v>
      </c>
      <c r="G16" s="320">
        <f>F16</f>
        <v>9.1499999999999998E-2</v>
      </c>
      <c r="H16" s="1324"/>
      <c r="I16" s="1324"/>
      <c r="J16" s="315" t="s">
        <v>18</v>
      </c>
    </row>
    <row r="17" spans="1:10" ht="12" customHeight="1">
      <c r="A17" s="315" t="s">
        <v>192</v>
      </c>
      <c r="B17" s="315" t="s">
        <v>22</v>
      </c>
      <c r="C17" s="321" t="s">
        <v>180</v>
      </c>
      <c r="D17" s="282">
        <v>180.45</v>
      </c>
      <c r="E17" s="318">
        <v>1800</v>
      </c>
      <c r="F17" s="318">
        <f>D17/E17</f>
        <v>0.10024999999999999</v>
      </c>
      <c r="G17" s="1324">
        <f>SUM(F17:F18)</f>
        <v>0.12747222222222221</v>
      </c>
      <c r="H17" s="1324"/>
      <c r="I17" s="1324"/>
      <c r="J17" s="315" t="s">
        <v>18</v>
      </c>
    </row>
    <row r="18" spans="1:10" ht="12" customHeight="1">
      <c r="A18" s="315" t="s">
        <v>192</v>
      </c>
      <c r="B18" s="315" t="s">
        <v>22</v>
      </c>
      <c r="C18" s="317" t="s">
        <v>450</v>
      </c>
      <c r="D18" s="283">
        <v>49</v>
      </c>
      <c r="E18" s="318">
        <v>1800</v>
      </c>
      <c r="F18" s="318">
        <f>D18/E18</f>
        <v>2.7222222222222221E-2</v>
      </c>
      <c r="G18" s="1324"/>
      <c r="H18" s="1324"/>
      <c r="I18" s="1324"/>
      <c r="J18" s="315" t="s">
        <v>18</v>
      </c>
    </row>
    <row r="19" spans="1:10" ht="18" customHeight="1">
      <c r="A19" s="315" t="s">
        <v>192</v>
      </c>
      <c r="B19" s="322" t="s">
        <v>189</v>
      </c>
      <c r="C19" s="321" t="s">
        <v>190</v>
      </c>
      <c r="D19" s="279">
        <v>8</v>
      </c>
      <c r="E19" s="318">
        <v>300</v>
      </c>
      <c r="F19" s="318">
        <f>D19*0.000279</f>
        <v>2.232E-3</v>
      </c>
      <c r="G19" s="1324">
        <f>SUM(F19:F20)</f>
        <v>4.4640000000000001E-3</v>
      </c>
      <c r="H19" s="1324"/>
      <c r="I19" s="1324"/>
      <c r="J19" s="315" t="s">
        <v>18</v>
      </c>
    </row>
    <row r="20" spans="1:10" ht="17.25" customHeight="1">
      <c r="A20" s="315" t="s">
        <v>192</v>
      </c>
      <c r="B20" s="322" t="s">
        <v>191</v>
      </c>
      <c r="C20" s="321" t="s">
        <v>197</v>
      </c>
      <c r="D20" s="279">
        <v>8</v>
      </c>
      <c r="E20" s="318">
        <v>300</v>
      </c>
      <c r="F20" s="318">
        <f>D20*0.000279</f>
        <v>2.232E-3</v>
      </c>
      <c r="G20" s="1324"/>
      <c r="H20" s="1324"/>
      <c r="I20" s="1324"/>
      <c r="J20" s="315" t="s">
        <v>18</v>
      </c>
    </row>
    <row r="21" spans="1:10" ht="12" customHeight="1">
      <c r="A21" s="301" t="s">
        <v>198</v>
      </c>
      <c r="B21" s="302" t="s">
        <v>19</v>
      </c>
      <c r="C21" s="303" t="s">
        <v>175</v>
      </c>
      <c r="D21" s="280">
        <f>436.58+65.69</f>
        <v>502.27</v>
      </c>
      <c r="E21" s="304">
        <v>800</v>
      </c>
      <c r="F21" s="304">
        <f>D21/E21</f>
        <v>0.62783749999999994</v>
      </c>
      <c r="G21" s="1325">
        <f>SUM(F21:F23)</f>
        <v>1.1854841666666667</v>
      </c>
      <c r="H21" s="1323">
        <f>SUM(G21:G27)</f>
        <v>1.5995914066666665</v>
      </c>
      <c r="I21" s="1323">
        <v>2</v>
      </c>
      <c r="J21" s="306" t="s">
        <v>28</v>
      </c>
    </row>
    <row r="22" spans="1:10" ht="12" customHeight="1">
      <c r="A22" s="301" t="s">
        <v>198</v>
      </c>
      <c r="B22" s="302" t="s">
        <v>19</v>
      </c>
      <c r="C22" s="307" t="s">
        <v>456</v>
      </c>
      <c r="D22" s="284">
        <v>46</v>
      </c>
      <c r="E22" s="323">
        <v>200</v>
      </c>
      <c r="F22" s="304">
        <f>D22/E22</f>
        <v>0.23</v>
      </c>
      <c r="G22" s="1325"/>
      <c r="H22" s="1325"/>
      <c r="I22" s="1325"/>
      <c r="J22" s="306" t="s">
        <v>28</v>
      </c>
    </row>
    <row r="23" spans="1:10" ht="12" customHeight="1">
      <c r="A23" s="301" t="s">
        <v>198</v>
      </c>
      <c r="B23" s="302" t="s">
        <v>19</v>
      </c>
      <c r="C23" s="303" t="s">
        <v>447</v>
      </c>
      <c r="D23" s="280">
        <v>491.47</v>
      </c>
      <c r="E23" s="304">
        <v>1500</v>
      </c>
      <c r="F23" s="304">
        <f>D23/E23</f>
        <v>0.3276466666666667</v>
      </c>
      <c r="G23" s="1325"/>
      <c r="H23" s="1325"/>
      <c r="I23" s="1325"/>
      <c r="J23" s="306" t="s">
        <v>28</v>
      </c>
    </row>
    <row r="24" spans="1:10" ht="12" customHeight="1">
      <c r="A24" s="301" t="s">
        <v>198</v>
      </c>
      <c r="B24" s="301" t="s">
        <v>22</v>
      </c>
      <c r="C24" s="303" t="s">
        <v>180</v>
      </c>
      <c r="D24" s="285">
        <f>67.9+164.49</f>
        <v>232.39000000000001</v>
      </c>
      <c r="E24" s="304">
        <v>1800</v>
      </c>
      <c r="F24" s="304">
        <f>D24/E24</f>
        <v>0.12910555555555556</v>
      </c>
      <c r="G24" s="1323">
        <f>SUM(F24:F25)</f>
        <v>0.35285</v>
      </c>
      <c r="H24" s="1323"/>
      <c r="I24" s="1323"/>
      <c r="J24" s="306" t="s">
        <v>28</v>
      </c>
    </row>
    <row r="25" spans="1:10" ht="24" customHeight="1">
      <c r="A25" s="301" t="s">
        <v>198</v>
      </c>
      <c r="B25" s="301" t="s">
        <v>22</v>
      </c>
      <c r="C25" s="303" t="s">
        <v>221</v>
      </c>
      <c r="D25" s="286">
        <v>402.74</v>
      </c>
      <c r="E25" s="304">
        <v>1800</v>
      </c>
      <c r="F25" s="304">
        <f>D25/E25</f>
        <v>0.22374444444444444</v>
      </c>
      <c r="G25" s="1323"/>
      <c r="H25" s="1323"/>
      <c r="I25" s="1323"/>
      <c r="J25" s="306" t="s">
        <v>28</v>
      </c>
    </row>
    <row r="26" spans="1:10" ht="12" customHeight="1">
      <c r="A26" s="301" t="s">
        <v>198</v>
      </c>
      <c r="B26" s="313" t="s">
        <v>189</v>
      </c>
      <c r="C26" s="310" t="s">
        <v>190</v>
      </c>
      <c r="D26" s="287">
        <v>109.78</v>
      </c>
      <c r="E26" s="304">
        <v>300</v>
      </c>
      <c r="F26" s="304">
        <f>D26*0.000279</f>
        <v>3.0628620000000002E-2</v>
      </c>
      <c r="G26" s="1323">
        <f>SUM(F26:F27)</f>
        <v>6.1257240000000004E-2</v>
      </c>
      <c r="H26" s="1323"/>
      <c r="I26" s="1323"/>
      <c r="J26" s="306" t="s">
        <v>28</v>
      </c>
    </row>
    <row r="27" spans="1:10" ht="12" customHeight="1">
      <c r="A27" s="301" t="s">
        <v>198</v>
      </c>
      <c r="B27" s="313" t="s">
        <v>191</v>
      </c>
      <c r="C27" s="310" t="s">
        <v>197</v>
      </c>
      <c r="D27" s="287">
        <v>109.78</v>
      </c>
      <c r="E27" s="304">
        <v>300</v>
      </c>
      <c r="F27" s="304">
        <f>D27*0.000279</f>
        <v>3.0628620000000002E-2</v>
      </c>
      <c r="G27" s="1323"/>
      <c r="H27" s="1323"/>
      <c r="I27" s="1323"/>
      <c r="J27" s="306" t="s">
        <v>28</v>
      </c>
    </row>
    <row r="28" spans="1:10" ht="12" customHeight="1">
      <c r="A28" s="301" t="s">
        <v>101</v>
      </c>
      <c r="B28" s="302" t="s">
        <v>19</v>
      </c>
      <c r="C28" s="303" t="s">
        <v>175</v>
      </c>
      <c r="D28" s="280">
        <f>936.15-43.71</f>
        <v>892.43999999999994</v>
      </c>
      <c r="E28" s="304">
        <v>800</v>
      </c>
      <c r="F28" s="304">
        <f t="shared" ref="F28:F36" si="1">D28/E28</f>
        <v>1.1155499999999998</v>
      </c>
      <c r="G28" s="1323">
        <f>SUM(F28:F31)</f>
        <v>1.4246999999999999</v>
      </c>
      <c r="H28" s="1323">
        <f>SUM(G28:G38)</f>
        <v>3.3083184829629624</v>
      </c>
      <c r="I28" s="1323">
        <v>3</v>
      </c>
      <c r="J28" s="306" t="s">
        <v>18</v>
      </c>
    </row>
    <row r="29" spans="1:10" ht="12" customHeight="1">
      <c r="A29" s="301" t="s">
        <v>101</v>
      </c>
      <c r="B29" s="302" t="s">
        <v>19</v>
      </c>
      <c r="C29" s="303" t="s">
        <v>454</v>
      </c>
      <c r="D29" s="280">
        <v>43.71</v>
      </c>
      <c r="E29" s="304">
        <v>200</v>
      </c>
      <c r="F29" s="304">
        <f t="shared" si="1"/>
        <v>0.21854999999999999</v>
      </c>
      <c r="G29" s="1323"/>
      <c r="H29" s="1323"/>
      <c r="I29" s="1323"/>
      <c r="J29" s="306" t="s">
        <v>18</v>
      </c>
    </row>
    <row r="30" spans="1:10" ht="12" customHeight="1">
      <c r="A30" s="301" t="s">
        <v>101</v>
      </c>
      <c r="B30" s="302" t="s">
        <v>19</v>
      </c>
      <c r="C30" s="303" t="s">
        <v>399</v>
      </c>
      <c r="D30" s="280">
        <v>50.6</v>
      </c>
      <c r="E30" s="304">
        <v>1000</v>
      </c>
      <c r="F30" s="304">
        <f>D30/E30</f>
        <v>5.0599999999999999E-2</v>
      </c>
      <c r="G30" s="1323"/>
      <c r="H30" s="1323"/>
      <c r="I30" s="1323"/>
      <c r="J30" s="306" t="s">
        <v>18</v>
      </c>
    </row>
    <row r="31" spans="1:10" ht="12" customHeight="1">
      <c r="A31" s="301" t="s">
        <v>101</v>
      </c>
      <c r="B31" s="302" t="s">
        <v>19</v>
      </c>
      <c r="C31" s="303" t="s">
        <v>448</v>
      </c>
      <c r="D31" s="280">
        <v>60</v>
      </c>
      <c r="E31" s="304">
        <v>1500</v>
      </c>
      <c r="F31" s="304">
        <f>D31/E31</f>
        <v>0.04</v>
      </c>
      <c r="G31" s="1323"/>
      <c r="H31" s="1323"/>
      <c r="I31" s="1323"/>
      <c r="J31" s="306" t="s">
        <v>18</v>
      </c>
    </row>
    <row r="32" spans="1:10" ht="12" customHeight="1">
      <c r="A32" s="301" t="s">
        <v>101</v>
      </c>
      <c r="B32" s="301" t="s">
        <v>22</v>
      </c>
      <c r="C32" s="324" t="s">
        <v>180</v>
      </c>
      <c r="D32" s="286">
        <v>782.15</v>
      </c>
      <c r="E32" s="304">
        <v>1800</v>
      </c>
      <c r="F32" s="304">
        <f t="shared" si="1"/>
        <v>0.43452777777777779</v>
      </c>
      <c r="G32" s="1323">
        <f>SUM(F32:F36)</f>
        <v>1.8024629629629629</v>
      </c>
      <c r="H32" s="1323"/>
      <c r="I32" s="1323"/>
      <c r="J32" s="306" t="s">
        <v>18</v>
      </c>
    </row>
    <row r="33" spans="1:10" ht="24" customHeight="1">
      <c r="A33" s="301" t="s">
        <v>101</v>
      </c>
      <c r="B33" s="301" t="s">
        <v>22</v>
      </c>
      <c r="C33" s="324" t="s">
        <v>221</v>
      </c>
      <c r="D33" s="286">
        <f>285+594.65</f>
        <v>879.65</v>
      </c>
      <c r="E33" s="304">
        <v>1800</v>
      </c>
      <c r="F33" s="304">
        <f t="shared" si="1"/>
        <v>0.48869444444444443</v>
      </c>
      <c r="G33" s="1323"/>
      <c r="H33" s="1323"/>
      <c r="I33" s="1323"/>
      <c r="J33" s="306" t="s">
        <v>18</v>
      </c>
    </row>
    <row r="34" spans="1:10" ht="12" customHeight="1">
      <c r="A34" s="301" t="s">
        <v>101</v>
      </c>
      <c r="B34" s="301" t="s">
        <v>22</v>
      </c>
      <c r="C34" s="324" t="s">
        <v>222</v>
      </c>
      <c r="D34" s="286">
        <v>305.60000000000002</v>
      </c>
      <c r="E34" s="304">
        <v>1800</v>
      </c>
      <c r="F34" s="304">
        <f t="shared" si="1"/>
        <v>0.16977777777777778</v>
      </c>
      <c r="G34" s="1323"/>
      <c r="H34" s="1323"/>
      <c r="I34" s="1323"/>
      <c r="J34" s="306" t="s">
        <v>18</v>
      </c>
    </row>
    <row r="35" spans="1:10" ht="12" customHeight="1">
      <c r="A35" s="301" t="s">
        <v>101</v>
      </c>
      <c r="B35" s="301" t="s">
        <v>22</v>
      </c>
      <c r="C35" s="303" t="s">
        <v>223</v>
      </c>
      <c r="D35" s="286">
        <v>515.54999999999995</v>
      </c>
      <c r="E35" s="304">
        <v>2700</v>
      </c>
      <c r="F35" s="304">
        <f t="shared" si="1"/>
        <v>0.19094444444444442</v>
      </c>
      <c r="G35" s="1323"/>
      <c r="H35" s="1323"/>
      <c r="I35" s="1323"/>
      <c r="J35" s="306" t="s">
        <v>18</v>
      </c>
    </row>
    <row r="36" spans="1:10" ht="12" customHeight="1">
      <c r="A36" s="301" t="s">
        <v>101</v>
      </c>
      <c r="B36" s="301" t="s">
        <v>22</v>
      </c>
      <c r="C36" s="303" t="s">
        <v>224</v>
      </c>
      <c r="D36" s="286">
        <v>1400</v>
      </c>
      <c r="E36" s="311">
        <v>2700</v>
      </c>
      <c r="F36" s="304">
        <f t="shared" si="1"/>
        <v>0.51851851851851849</v>
      </c>
      <c r="G36" s="1323"/>
      <c r="H36" s="1323"/>
      <c r="I36" s="1323"/>
      <c r="J36" s="306" t="s">
        <v>18</v>
      </c>
    </row>
    <row r="37" spans="1:10" ht="12" customHeight="1">
      <c r="A37" s="301" t="s">
        <v>101</v>
      </c>
      <c r="B37" s="313" t="s">
        <v>189</v>
      </c>
      <c r="C37" s="310" t="s">
        <v>190</v>
      </c>
      <c r="D37" s="287">
        <v>145.44</v>
      </c>
      <c r="E37" s="304">
        <v>300</v>
      </c>
      <c r="F37" s="304">
        <f>D37*0.000279</f>
        <v>4.0577759999999997E-2</v>
      </c>
      <c r="G37" s="1323">
        <f>SUM(F37:F38)</f>
        <v>8.1155519999999995E-2</v>
      </c>
      <c r="H37" s="1323"/>
      <c r="I37" s="1323"/>
      <c r="J37" s="306" t="s">
        <v>18</v>
      </c>
    </row>
    <row r="38" spans="1:10" ht="12" customHeight="1">
      <c r="A38" s="301" t="s">
        <v>101</v>
      </c>
      <c r="B38" s="313" t="s">
        <v>191</v>
      </c>
      <c r="C38" s="310" t="s">
        <v>197</v>
      </c>
      <c r="D38" s="287">
        <v>145.44</v>
      </c>
      <c r="E38" s="304">
        <v>300</v>
      </c>
      <c r="F38" s="304">
        <f>D38*0.000279</f>
        <v>4.0577759999999997E-2</v>
      </c>
      <c r="G38" s="1323"/>
      <c r="H38" s="1323"/>
      <c r="I38" s="1323"/>
      <c r="J38" s="306" t="s">
        <v>18</v>
      </c>
    </row>
    <row r="39" spans="1:10" ht="15" customHeight="1">
      <c r="A39" s="315" t="s">
        <v>206</v>
      </c>
      <c r="B39" s="316" t="s">
        <v>19</v>
      </c>
      <c r="C39" s="317" t="s">
        <v>175</v>
      </c>
      <c r="D39" s="280">
        <v>639.45000000000005</v>
      </c>
      <c r="E39" s="318">
        <v>800</v>
      </c>
      <c r="F39" s="318">
        <f t="shared" ref="F39:F49" si="2">D39/E39</f>
        <v>0.79931250000000009</v>
      </c>
      <c r="G39" s="1326">
        <f>F39+F40+F42+F41</f>
        <v>1.2087224999999999</v>
      </c>
      <c r="H39" s="1324">
        <f>SUM(G39:G51)</f>
        <v>2.9404384355555555</v>
      </c>
      <c r="I39" s="1324">
        <v>3</v>
      </c>
      <c r="J39" s="315" t="s">
        <v>28</v>
      </c>
    </row>
    <row r="40" spans="1:10" ht="15" customHeight="1">
      <c r="A40" s="315" t="s">
        <v>206</v>
      </c>
      <c r="B40" s="316" t="s">
        <v>19</v>
      </c>
      <c r="C40" s="325" t="s">
        <v>456</v>
      </c>
      <c r="D40" s="284">
        <v>34.950000000000003</v>
      </c>
      <c r="E40" s="318">
        <v>200</v>
      </c>
      <c r="F40" s="318">
        <f t="shared" si="2"/>
        <v>0.17475000000000002</v>
      </c>
      <c r="G40" s="1327"/>
      <c r="H40" s="1324"/>
      <c r="I40" s="1324"/>
      <c r="J40" s="315" t="s">
        <v>28</v>
      </c>
    </row>
    <row r="41" spans="1:10" ht="15" customHeight="1">
      <c r="A41" s="315" t="s">
        <v>102</v>
      </c>
      <c r="B41" s="316" t="s">
        <v>19</v>
      </c>
      <c r="C41" s="317" t="s">
        <v>400</v>
      </c>
      <c r="D41" s="280">
        <v>175.46</v>
      </c>
      <c r="E41" s="318">
        <v>1000</v>
      </c>
      <c r="F41" s="318">
        <f>D41/E41</f>
        <v>0.17546</v>
      </c>
      <c r="G41" s="1327"/>
      <c r="H41" s="1324"/>
      <c r="I41" s="1324"/>
      <c r="J41" s="315" t="s">
        <v>28</v>
      </c>
    </row>
    <row r="42" spans="1:10" ht="15" customHeight="1">
      <c r="A42" s="315" t="s">
        <v>102</v>
      </c>
      <c r="B42" s="316" t="s">
        <v>19</v>
      </c>
      <c r="C42" s="317" t="s">
        <v>401</v>
      </c>
      <c r="D42" s="280">
        <v>88.8</v>
      </c>
      <c r="E42" s="326">
        <v>1500</v>
      </c>
      <c r="F42" s="318">
        <f>D42/E42</f>
        <v>5.9199999999999996E-2</v>
      </c>
      <c r="G42" s="1327"/>
      <c r="H42" s="1324"/>
      <c r="I42" s="1324"/>
      <c r="J42" s="315" t="s">
        <v>28</v>
      </c>
    </row>
    <row r="43" spans="1:10" ht="12" customHeight="1">
      <c r="A43" s="315" t="s">
        <v>206</v>
      </c>
      <c r="B43" s="315" t="s">
        <v>22</v>
      </c>
      <c r="C43" s="317" t="s">
        <v>180</v>
      </c>
      <c r="D43" s="286">
        <v>309.3</v>
      </c>
      <c r="E43" s="318">
        <v>1800</v>
      </c>
      <c r="F43" s="318">
        <f t="shared" si="2"/>
        <v>0.17183333333333334</v>
      </c>
      <c r="G43" s="1326">
        <f>SUM(F43:F49)</f>
        <v>1.6775285555555555</v>
      </c>
      <c r="H43" s="1324"/>
      <c r="I43" s="1324"/>
      <c r="J43" s="315" t="s">
        <v>28</v>
      </c>
    </row>
    <row r="44" spans="1:10" ht="24" customHeight="1">
      <c r="A44" s="315" t="s">
        <v>206</v>
      </c>
      <c r="B44" s="315" t="s">
        <v>22</v>
      </c>
      <c r="C44" s="317" t="s">
        <v>221</v>
      </c>
      <c r="D44" s="286">
        <v>240.2</v>
      </c>
      <c r="E44" s="318">
        <v>1800</v>
      </c>
      <c r="F44" s="318">
        <f t="shared" si="2"/>
        <v>0.13344444444444445</v>
      </c>
      <c r="G44" s="1327"/>
      <c r="H44" s="1324"/>
      <c r="I44" s="1324"/>
      <c r="J44" s="315" t="s">
        <v>28</v>
      </c>
    </row>
    <row r="45" spans="1:10" ht="24" customHeight="1">
      <c r="A45" s="315" t="s">
        <v>206</v>
      </c>
      <c r="B45" s="315" t="s">
        <v>22</v>
      </c>
      <c r="C45" s="317" t="s">
        <v>222</v>
      </c>
      <c r="D45" s="286">
        <v>665</v>
      </c>
      <c r="E45" s="318">
        <v>1800</v>
      </c>
      <c r="F45" s="318">
        <f t="shared" si="2"/>
        <v>0.36944444444444446</v>
      </c>
      <c r="G45" s="1327"/>
      <c r="H45" s="1324"/>
      <c r="I45" s="1324"/>
      <c r="J45" s="315" t="s">
        <v>28</v>
      </c>
    </row>
    <row r="46" spans="1:10" ht="12" customHeight="1">
      <c r="A46" s="315" t="s">
        <v>206</v>
      </c>
      <c r="B46" s="315" t="s">
        <v>22</v>
      </c>
      <c r="C46" s="317" t="s">
        <v>223</v>
      </c>
      <c r="D46" s="286">
        <v>533.6</v>
      </c>
      <c r="E46" s="318">
        <v>2700</v>
      </c>
      <c r="F46" s="318">
        <f t="shared" si="2"/>
        <v>0.19762962962962963</v>
      </c>
      <c r="G46" s="1327"/>
      <c r="H46" s="1324"/>
      <c r="I46" s="1324"/>
      <c r="J46" s="315" t="s">
        <v>28</v>
      </c>
    </row>
    <row r="47" spans="1:10" ht="12" customHeight="1">
      <c r="A47" s="315" t="s">
        <v>206</v>
      </c>
      <c r="B47" s="315" t="s">
        <v>22</v>
      </c>
      <c r="C47" s="317" t="s">
        <v>224</v>
      </c>
      <c r="D47" s="286">
        <v>1900</v>
      </c>
      <c r="E47" s="326">
        <v>2700</v>
      </c>
      <c r="F47" s="318">
        <f t="shared" si="2"/>
        <v>0.70370370370370372</v>
      </c>
      <c r="G47" s="1327"/>
      <c r="H47" s="1324"/>
      <c r="I47" s="1324"/>
      <c r="J47" s="315" t="s">
        <v>28</v>
      </c>
    </row>
    <row r="48" spans="1:10" ht="24" customHeight="1">
      <c r="A48" s="315" t="s">
        <v>206</v>
      </c>
      <c r="B48" s="315" t="s">
        <v>22</v>
      </c>
      <c r="C48" s="317" t="s">
        <v>451</v>
      </c>
      <c r="D48" s="286">
        <v>1047.3</v>
      </c>
      <c r="E48" s="327">
        <v>100000</v>
      </c>
      <c r="F48" s="318">
        <f t="shared" si="2"/>
        <v>1.0473E-2</v>
      </c>
      <c r="G48" s="1327"/>
      <c r="H48" s="1324"/>
      <c r="I48" s="1324"/>
      <c r="J48" s="315" t="s">
        <v>28</v>
      </c>
    </row>
    <row r="49" spans="1:10" ht="24" customHeight="1">
      <c r="A49" s="315" t="s">
        <v>102</v>
      </c>
      <c r="B49" s="315" t="s">
        <v>22</v>
      </c>
      <c r="C49" s="317" t="s">
        <v>316</v>
      </c>
      <c r="D49" s="286">
        <v>546</v>
      </c>
      <c r="E49" s="327">
        <v>6000</v>
      </c>
      <c r="F49" s="318">
        <f t="shared" si="2"/>
        <v>9.0999999999999998E-2</v>
      </c>
      <c r="G49" s="1328"/>
      <c r="H49" s="1324"/>
      <c r="I49" s="1324"/>
      <c r="J49" s="315" t="s">
        <v>28</v>
      </c>
    </row>
    <row r="50" spans="1:10" ht="12" customHeight="1">
      <c r="A50" s="315" t="s">
        <v>206</v>
      </c>
      <c r="B50" s="322" t="s">
        <v>189</v>
      </c>
      <c r="C50" s="321" t="s">
        <v>190</v>
      </c>
      <c r="D50" s="279">
        <v>97.11</v>
      </c>
      <c r="E50" s="318">
        <v>300</v>
      </c>
      <c r="F50" s="318">
        <f>D50*0.000279</f>
        <v>2.709369E-2</v>
      </c>
      <c r="G50" s="1324">
        <f>SUM(F50:F51)</f>
        <v>5.418738E-2</v>
      </c>
      <c r="H50" s="1324"/>
      <c r="I50" s="1324"/>
      <c r="J50" s="315" t="s">
        <v>28</v>
      </c>
    </row>
    <row r="51" spans="1:10" ht="12" customHeight="1">
      <c r="A51" s="315" t="s">
        <v>206</v>
      </c>
      <c r="B51" s="322" t="s">
        <v>191</v>
      </c>
      <c r="C51" s="321" t="s">
        <v>197</v>
      </c>
      <c r="D51" s="279">
        <v>97.11</v>
      </c>
      <c r="E51" s="318">
        <v>300</v>
      </c>
      <c r="F51" s="318">
        <f>D51*0.000279</f>
        <v>2.709369E-2</v>
      </c>
      <c r="G51" s="1324"/>
      <c r="H51" s="1324"/>
      <c r="I51" s="1324"/>
      <c r="J51" s="315" t="s">
        <v>28</v>
      </c>
    </row>
    <row r="52" spans="1:10" ht="12" customHeight="1">
      <c r="A52" s="328" t="s">
        <v>103</v>
      </c>
      <c r="B52" s="316" t="s">
        <v>19</v>
      </c>
      <c r="C52" s="329" t="s">
        <v>175</v>
      </c>
      <c r="D52" s="280">
        <v>171</v>
      </c>
      <c r="E52" s="330"/>
      <c r="F52" s="304" t="e">
        <f t="shared" ref="F52:F59" si="3">D52/E52</f>
        <v>#DIV/0!</v>
      </c>
      <c r="G52" s="1329" t="e">
        <f>SUM(F52:F54)</f>
        <v>#DIV/0!</v>
      </c>
      <c r="H52" s="1329" t="e">
        <f>SUM(G52:G59)</f>
        <v>#DIV/0!</v>
      </c>
      <c r="I52" s="1329">
        <v>1</v>
      </c>
      <c r="J52" s="328" t="s">
        <v>28</v>
      </c>
    </row>
    <row r="53" spans="1:10" ht="12" customHeight="1">
      <c r="A53" s="328" t="s">
        <v>103</v>
      </c>
      <c r="B53" s="316" t="s">
        <v>19</v>
      </c>
      <c r="C53" s="331" t="s">
        <v>457</v>
      </c>
      <c r="D53" s="288">
        <v>6</v>
      </c>
      <c r="E53" s="330"/>
      <c r="F53" s="304" t="e">
        <f t="shared" si="3"/>
        <v>#DIV/0!</v>
      </c>
      <c r="G53" s="1329"/>
      <c r="H53" s="1329"/>
      <c r="I53" s="1329"/>
      <c r="J53" s="328" t="s">
        <v>28</v>
      </c>
    </row>
    <row r="54" spans="1:10" ht="12" customHeight="1">
      <c r="A54" s="328" t="s">
        <v>103</v>
      </c>
      <c r="B54" s="316" t="s">
        <v>19</v>
      </c>
      <c r="C54" s="332" t="s">
        <v>447</v>
      </c>
      <c r="D54" s="288">
        <v>83</v>
      </c>
      <c r="E54" s="330"/>
      <c r="F54" s="304" t="e">
        <f t="shared" si="3"/>
        <v>#DIV/0!</v>
      </c>
      <c r="G54" s="1329"/>
      <c r="H54" s="1329"/>
      <c r="I54" s="1329"/>
      <c r="J54" s="328" t="s">
        <v>28</v>
      </c>
    </row>
    <row r="55" spans="1:10" ht="12" customHeight="1">
      <c r="A55" s="328" t="s">
        <v>103</v>
      </c>
      <c r="B55" s="328" t="s">
        <v>22</v>
      </c>
      <c r="C55" s="333" t="s">
        <v>180</v>
      </c>
      <c r="D55" s="286">
        <v>359</v>
      </c>
      <c r="E55" s="330"/>
      <c r="F55" s="304" t="e">
        <f t="shared" si="3"/>
        <v>#DIV/0!</v>
      </c>
      <c r="G55" s="1329" t="e">
        <f>F55+F56+F57</f>
        <v>#DIV/0!</v>
      </c>
      <c r="H55" s="1329"/>
      <c r="I55" s="1329"/>
      <c r="J55" s="328" t="s">
        <v>28</v>
      </c>
    </row>
    <row r="56" spans="1:10" ht="19.95" customHeight="1">
      <c r="A56" s="328" t="s">
        <v>103</v>
      </c>
      <c r="B56" s="328" t="s">
        <v>22</v>
      </c>
      <c r="C56" s="333" t="s">
        <v>221</v>
      </c>
      <c r="D56" s="286">
        <v>585</v>
      </c>
      <c r="E56" s="330"/>
      <c r="F56" s="304" t="e">
        <f t="shared" si="3"/>
        <v>#DIV/0!</v>
      </c>
      <c r="G56" s="1329"/>
      <c r="H56" s="1329"/>
      <c r="I56" s="1329"/>
      <c r="J56" s="328" t="s">
        <v>28</v>
      </c>
    </row>
    <row r="57" spans="1:10" ht="19.2" customHeight="1">
      <c r="A57" s="328" t="s">
        <v>103</v>
      </c>
      <c r="B57" s="328" t="s">
        <v>22</v>
      </c>
      <c r="C57" s="333" t="s">
        <v>222</v>
      </c>
      <c r="D57" s="286">
        <v>174</v>
      </c>
      <c r="E57" s="330"/>
      <c r="F57" s="304" t="e">
        <f t="shared" si="3"/>
        <v>#DIV/0!</v>
      </c>
      <c r="G57" s="1329"/>
      <c r="H57" s="1329"/>
      <c r="I57" s="1329"/>
      <c r="J57" s="328" t="s">
        <v>28</v>
      </c>
    </row>
    <row r="58" spans="1:10" ht="12" customHeight="1">
      <c r="A58" s="328" t="s">
        <v>103</v>
      </c>
      <c r="B58" s="322" t="s">
        <v>189</v>
      </c>
      <c r="C58" s="334" t="s">
        <v>190</v>
      </c>
      <c r="D58" s="279">
        <v>34</v>
      </c>
      <c r="E58" s="330"/>
      <c r="F58" s="304" t="e">
        <f t="shared" si="3"/>
        <v>#DIV/0!</v>
      </c>
      <c r="G58" s="1329" t="e">
        <f>SUM(F58:F59)</f>
        <v>#DIV/0!</v>
      </c>
      <c r="H58" s="1329"/>
      <c r="I58" s="1329"/>
      <c r="J58" s="328" t="s">
        <v>28</v>
      </c>
    </row>
    <row r="59" spans="1:10" ht="12" customHeight="1">
      <c r="A59" s="328" t="s">
        <v>103</v>
      </c>
      <c r="B59" s="322" t="s">
        <v>191</v>
      </c>
      <c r="C59" s="334" t="s">
        <v>197</v>
      </c>
      <c r="D59" s="279">
        <v>34</v>
      </c>
      <c r="E59" s="330"/>
      <c r="F59" s="304" t="e">
        <f t="shared" si="3"/>
        <v>#DIV/0!</v>
      </c>
      <c r="G59" s="1329"/>
      <c r="H59" s="1329"/>
      <c r="I59" s="1329"/>
      <c r="J59" s="328" t="s">
        <v>28</v>
      </c>
    </row>
    <row r="60" spans="1:10" ht="12" customHeight="1">
      <c r="A60" s="335" t="s">
        <v>208</v>
      </c>
      <c r="B60" s="302" t="s">
        <v>19</v>
      </c>
      <c r="C60" s="336" t="s">
        <v>175</v>
      </c>
      <c r="D60" s="280">
        <v>292</v>
      </c>
      <c r="E60" s="337">
        <v>800</v>
      </c>
      <c r="F60" s="337">
        <f t="shared" ref="F60:F66" si="4">D60/E60</f>
        <v>0.36499999999999999</v>
      </c>
      <c r="G60" s="337">
        <f t="shared" ref="G60:G66" si="5">F60</f>
        <v>0.36499999999999999</v>
      </c>
      <c r="H60" s="1332">
        <f>SUM(G60:G68)</f>
        <v>0.77777903703703699</v>
      </c>
      <c r="I60" s="1332">
        <v>1</v>
      </c>
      <c r="J60" s="338" t="s">
        <v>28</v>
      </c>
    </row>
    <row r="61" spans="1:10" ht="12" customHeight="1">
      <c r="A61" s="335" t="s">
        <v>208</v>
      </c>
      <c r="B61" s="302" t="s">
        <v>19</v>
      </c>
      <c r="C61" s="336" t="s">
        <v>457</v>
      </c>
      <c r="D61" s="280">
        <v>6.07</v>
      </c>
      <c r="E61" s="337">
        <v>200</v>
      </c>
      <c r="F61" s="337">
        <f t="shared" si="4"/>
        <v>3.0350000000000002E-2</v>
      </c>
      <c r="G61" s="337">
        <f t="shared" si="5"/>
        <v>3.0350000000000002E-2</v>
      </c>
      <c r="H61" s="1332"/>
      <c r="I61" s="1332"/>
      <c r="J61" s="338" t="s">
        <v>28</v>
      </c>
    </row>
    <row r="62" spans="1:10" ht="12" customHeight="1">
      <c r="A62" s="335" t="s">
        <v>208</v>
      </c>
      <c r="B62" s="302" t="s">
        <v>19</v>
      </c>
      <c r="C62" s="336" t="s">
        <v>447</v>
      </c>
      <c r="D62" s="280">
        <v>68</v>
      </c>
      <c r="E62" s="337">
        <v>1500</v>
      </c>
      <c r="F62" s="337">
        <f t="shared" si="4"/>
        <v>4.5333333333333337E-2</v>
      </c>
      <c r="G62" s="337">
        <f t="shared" si="5"/>
        <v>4.5333333333333337E-2</v>
      </c>
      <c r="H62" s="1332"/>
      <c r="I62" s="1332"/>
      <c r="J62" s="315" t="s">
        <v>28</v>
      </c>
    </row>
    <row r="63" spans="1:10" ht="12" customHeight="1">
      <c r="A63" s="335" t="s">
        <v>208</v>
      </c>
      <c r="B63" s="335" t="s">
        <v>22</v>
      </c>
      <c r="C63" s="336" t="s">
        <v>317</v>
      </c>
      <c r="D63" s="286">
        <v>105</v>
      </c>
      <c r="E63" s="339">
        <v>1800</v>
      </c>
      <c r="F63" s="337">
        <f t="shared" si="4"/>
        <v>5.8333333333333334E-2</v>
      </c>
      <c r="G63" s="340">
        <f t="shared" si="5"/>
        <v>5.8333333333333334E-2</v>
      </c>
      <c r="H63" s="1332"/>
      <c r="I63" s="1332"/>
      <c r="J63" s="338" t="s">
        <v>28</v>
      </c>
    </row>
    <row r="64" spans="1:10" ht="12" customHeight="1">
      <c r="A64" s="335" t="s">
        <v>208</v>
      </c>
      <c r="B64" s="335" t="s">
        <v>22</v>
      </c>
      <c r="C64" s="336" t="s">
        <v>221</v>
      </c>
      <c r="D64" s="286">
        <v>104</v>
      </c>
      <c r="E64" s="339">
        <v>1800</v>
      </c>
      <c r="F64" s="337">
        <f t="shared" si="4"/>
        <v>5.7777777777777775E-2</v>
      </c>
      <c r="G64" s="340">
        <f t="shared" si="5"/>
        <v>5.7777777777777775E-2</v>
      </c>
      <c r="H64" s="1332"/>
      <c r="I64" s="1332"/>
      <c r="J64" s="315" t="s">
        <v>28</v>
      </c>
    </row>
    <row r="65" spans="1:12" ht="12" customHeight="1">
      <c r="A65" s="335" t="s">
        <v>208</v>
      </c>
      <c r="B65" s="335" t="s">
        <v>22</v>
      </c>
      <c r="C65" s="336" t="s">
        <v>222</v>
      </c>
      <c r="D65" s="286">
        <v>107</v>
      </c>
      <c r="E65" s="339">
        <v>1800</v>
      </c>
      <c r="F65" s="337">
        <f t="shared" si="4"/>
        <v>5.9444444444444446E-2</v>
      </c>
      <c r="G65" s="340">
        <f t="shared" si="5"/>
        <v>5.9444444444444446E-2</v>
      </c>
      <c r="H65" s="1332"/>
      <c r="I65" s="1332"/>
      <c r="J65" s="315" t="s">
        <v>28</v>
      </c>
    </row>
    <row r="66" spans="1:12" ht="12" customHeight="1">
      <c r="A66" s="335" t="s">
        <v>208</v>
      </c>
      <c r="B66" s="335" t="s">
        <v>22</v>
      </c>
      <c r="C66" s="336" t="s">
        <v>318</v>
      </c>
      <c r="D66" s="286">
        <v>400</v>
      </c>
      <c r="E66" s="339">
        <v>2700</v>
      </c>
      <c r="F66" s="337">
        <f t="shared" si="4"/>
        <v>0.14814814814814814</v>
      </c>
      <c r="G66" s="340">
        <f t="shared" si="5"/>
        <v>0.14814814814814814</v>
      </c>
      <c r="H66" s="1332"/>
      <c r="I66" s="1332"/>
      <c r="J66" s="315" t="s">
        <v>28</v>
      </c>
    </row>
    <row r="67" spans="1:12" ht="12" customHeight="1">
      <c r="A67" s="335" t="s">
        <v>208</v>
      </c>
      <c r="B67" s="313" t="s">
        <v>189</v>
      </c>
      <c r="C67" s="341" t="s">
        <v>190</v>
      </c>
      <c r="D67" s="287">
        <v>24</v>
      </c>
      <c r="E67" s="337">
        <v>300</v>
      </c>
      <c r="F67" s="337">
        <f>D67*0.000279</f>
        <v>6.6960000000000006E-3</v>
      </c>
      <c r="G67" s="1332">
        <f>SUM(F67:F68)</f>
        <v>1.3392000000000001E-2</v>
      </c>
      <c r="H67" s="1332"/>
      <c r="I67" s="1332"/>
      <c r="J67" s="338" t="s">
        <v>28</v>
      </c>
    </row>
    <row r="68" spans="1:12" ht="12" customHeight="1">
      <c r="A68" s="335" t="s">
        <v>208</v>
      </c>
      <c r="B68" s="313" t="s">
        <v>191</v>
      </c>
      <c r="C68" s="341" t="s">
        <v>197</v>
      </c>
      <c r="D68" s="287">
        <v>24</v>
      </c>
      <c r="E68" s="337">
        <v>300</v>
      </c>
      <c r="F68" s="337">
        <f>D68*0.000279</f>
        <v>6.6960000000000006E-3</v>
      </c>
      <c r="G68" s="1332"/>
      <c r="H68" s="1332"/>
      <c r="I68" s="1332"/>
      <c r="J68" s="338" t="s">
        <v>28</v>
      </c>
    </row>
    <row r="69" spans="1:12" ht="12" customHeight="1">
      <c r="A69" s="328" t="s">
        <v>211</v>
      </c>
      <c r="B69" s="316" t="s">
        <v>19</v>
      </c>
      <c r="C69" s="333" t="s">
        <v>175</v>
      </c>
      <c r="D69" s="280">
        <v>405</v>
      </c>
      <c r="E69" s="330"/>
      <c r="F69" s="308" t="e">
        <f t="shared" ref="F69:F74" si="6">D69/E69</f>
        <v>#DIV/0!</v>
      </c>
      <c r="G69" s="1333" t="e">
        <f>SUM(F69:F70)</f>
        <v>#DIV/0!</v>
      </c>
      <c r="H69" s="1329" t="e">
        <f>SUM(G69:G71)</f>
        <v>#DIV/0!</v>
      </c>
      <c r="I69" s="1329">
        <v>1</v>
      </c>
      <c r="J69" s="328" t="s">
        <v>28</v>
      </c>
    </row>
    <row r="70" spans="1:12" ht="12" customHeight="1">
      <c r="A70" s="328" t="s">
        <v>211</v>
      </c>
      <c r="B70" s="316" t="s">
        <v>19</v>
      </c>
      <c r="C70" s="342" t="s">
        <v>457</v>
      </c>
      <c r="D70" s="280">
        <v>9</v>
      </c>
      <c r="E70" s="330"/>
      <c r="F70" s="308" t="e">
        <f t="shared" si="6"/>
        <v>#DIV/0!</v>
      </c>
      <c r="G70" s="1333"/>
      <c r="H70" s="1329"/>
      <c r="I70" s="1329"/>
      <c r="J70" s="328" t="s">
        <v>28</v>
      </c>
    </row>
    <row r="71" spans="1:12" ht="24" customHeight="1">
      <c r="A71" s="328" t="s">
        <v>211</v>
      </c>
      <c r="B71" s="328" t="s">
        <v>22</v>
      </c>
      <c r="C71" s="333" t="s">
        <v>213</v>
      </c>
      <c r="D71" s="286">
        <v>161.68</v>
      </c>
      <c r="E71" s="343"/>
      <c r="F71" s="308" t="e">
        <f t="shared" si="6"/>
        <v>#DIV/0!</v>
      </c>
      <c r="G71" s="344" t="e">
        <f>F71</f>
        <v>#DIV/0!</v>
      </c>
      <c r="H71" s="1329"/>
      <c r="I71" s="1329"/>
      <c r="J71" s="328" t="s">
        <v>28</v>
      </c>
    </row>
    <row r="72" spans="1:12" ht="12" customHeight="1">
      <c r="A72" s="315" t="s">
        <v>212</v>
      </c>
      <c r="B72" s="316" t="s">
        <v>19</v>
      </c>
      <c r="C72" s="317" t="s">
        <v>175</v>
      </c>
      <c r="D72" s="280">
        <v>125</v>
      </c>
      <c r="E72" s="318"/>
      <c r="F72" s="337" t="e">
        <f t="shared" si="6"/>
        <v>#DIV/0!</v>
      </c>
      <c r="G72" s="1338" t="e">
        <f>F72+F73</f>
        <v>#DIV/0!</v>
      </c>
      <c r="H72" s="1324" t="e">
        <f>SUM(G72:G74)</f>
        <v>#DIV/0!</v>
      </c>
      <c r="I72" s="1324">
        <v>1</v>
      </c>
      <c r="J72" s="315" t="s">
        <v>28</v>
      </c>
    </row>
    <row r="73" spans="1:12" ht="12" customHeight="1">
      <c r="A73" s="315" t="s">
        <v>212</v>
      </c>
      <c r="B73" s="316" t="s">
        <v>19</v>
      </c>
      <c r="C73" s="325" t="s">
        <v>457</v>
      </c>
      <c r="D73" s="280">
        <v>9</v>
      </c>
      <c r="E73" s="318"/>
      <c r="F73" s="337" t="e">
        <f t="shared" si="6"/>
        <v>#DIV/0!</v>
      </c>
      <c r="G73" s="1338"/>
      <c r="H73" s="1324"/>
      <c r="I73" s="1324"/>
      <c r="J73" s="315" t="s">
        <v>28</v>
      </c>
    </row>
    <row r="74" spans="1:12" ht="24" customHeight="1">
      <c r="A74" s="315" t="s">
        <v>212</v>
      </c>
      <c r="B74" s="315" t="s">
        <v>22</v>
      </c>
      <c r="C74" s="317" t="s">
        <v>213</v>
      </c>
      <c r="D74" s="289">
        <v>490</v>
      </c>
      <c r="E74" s="326"/>
      <c r="F74" s="337" t="e">
        <f t="shared" si="6"/>
        <v>#DIV/0!</v>
      </c>
      <c r="G74" s="345" t="e">
        <f>F74</f>
        <v>#DIV/0!</v>
      </c>
      <c r="H74" s="1324"/>
      <c r="I74" s="1324"/>
      <c r="J74" s="315" t="s">
        <v>28</v>
      </c>
      <c r="L74" s="346"/>
    </row>
    <row r="75" spans="1:12" ht="12.75" hidden="1" customHeight="1">
      <c r="A75" s="1330" t="s">
        <v>98</v>
      </c>
      <c r="B75" s="1330"/>
      <c r="C75" s="1330"/>
      <c r="D75" s="347">
        <f>SUM(D2:D74)</f>
        <v>42849.08</v>
      </c>
      <c r="E75" s="348"/>
      <c r="F75" s="348"/>
      <c r="G75" s="348"/>
      <c r="H75" s="348" t="e">
        <f>SUM(H2:H74)</f>
        <v>#DIV/0!</v>
      </c>
      <c r="I75" s="348">
        <f>SUM(I2:I74)</f>
        <v>23</v>
      </c>
      <c r="J75" s="349"/>
    </row>
    <row r="76" spans="1:12" ht="12" customHeight="1">
      <c r="B76" s="350"/>
      <c r="C76" s="351"/>
      <c r="D76" s="352"/>
      <c r="E76" s="353"/>
      <c r="F76" s="353"/>
      <c r="G76" s="353"/>
      <c r="H76" s="353"/>
      <c r="I76" s="353">
        <f>SUBTOTAL(9,I2:I74)</f>
        <v>23</v>
      </c>
      <c r="J76" s="350"/>
    </row>
    <row r="77" spans="1:12" ht="12" customHeight="1">
      <c r="B77" s="350"/>
      <c r="J77" s="350"/>
    </row>
    <row r="78" spans="1:12" ht="24" customHeight="1">
      <c r="B78" s="350"/>
      <c r="D78" s="275" t="s">
        <v>172</v>
      </c>
      <c r="E78" s="296" t="s">
        <v>166</v>
      </c>
      <c r="F78" s="296" t="s">
        <v>173</v>
      </c>
      <c r="G78" s="296" t="s">
        <v>171</v>
      </c>
      <c r="J78" s="350"/>
    </row>
    <row r="79" spans="1:12" ht="12" customHeight="1">
      <c r="B79" s="350"/>
      <c r="D79" s="356" t="s">
        <v>19</v>
      </c>
      <c r="E79" s="357">
        <v>360</v>
      </c>
      <c r="F79" s="356">
        <f>D4</f>
        <v>212.21</v>
      </c>
      <c r="G79" s="358" t="s">
        <v>18</v>
      </c>
      <c r="I79" s="366">
        <f>D69+D70+D71+D72+D73+D74+D52+D53+D54+D55+D56+D57+D58+D59</f>
        <v>2645.6800000000003</v>
      </c>
      <c r="J79" s="350"/>
    </row>
    <row r="80" spans="1:12" ht="12" customHeight="1">
      <c r="B80" s="350"/>
      <c r="D80" s="356" t="s">
        <v>19</v>
      </c>
      <c r="E80" s="357">
        <v>800</v>
      </c>
      <c r="F80" s="356">
        <f>D2+D15+D28</f>
        <v>3807.4700000000003</v>
      </c>
      <c r="G80" s="358" t="s">
        <v>18</v>
      </c>
      <c r="J80" s="350"/>
    </row>
    <row r="81" spans="2:12" ht="12" customHeight="1">
      <c r="B81" s="350"/>
      <c r="D81" s="356" t="s">
        <v>19</v>
      </c>
      <c r="E81" s="357">
        <v>1000</v>
      </c>
      <c r="F81" s="356">
        <f>D5+D30</f>
        <v>199.92</v>
      </c>
      <c r="G81" s="358" t="s">
        <v>18</v>
      </c>
      <c r="J81" s="350"/>
    </row>
    <row r="82" spans="2:12" ht="12" customHeight="1">
      <c r="B82" s="350"/>
      <c r="D82" s="356" t="s">
        <v>19</v>
      </c>
      <c r="E82" s="357">
        <v>1500</v>
      </c>
      <c r="F82" s="356">
        <f>D6+D31</f>
        <v>110.75</v>
      </c>
      <c r="G82" s="358" t="s">
        <v>18</v>
      </c>
      <c r="I82" s="366">
        <f>F100+I79</f>
        <v>42849.08</v>
      </c>
      <c r="J82" s="350"/>
    </row>
    <row r="83" spans="2:12" ht="12" customHeight="1">
      <c r="B83" s="350"/>
      <c r="D83" s="356" t="s">
        <v>22</v>
      </c>
      <c r="E83" s="357">
        <v>1800</v>
      </c>
      <c r="F83" s="356">
        <f>D7+D9+D10+D17+D18+D32+D33+D34</f>
        <v>6824.8499999999995</v>
      </c>
      <c r="G83" s="358" t="s">
        <v>18</v>
      </c>
      <c r="I83" s="366">
        <f>F99+I79</f>
        <v>12044.460000000001</v>
      </c>
      <c r="J83" s="350"/>
    </row>
    <row r="84" spans="2:12" ht="12" customHeight="1">
      <c r="B84" s="350"/>
      <c r="D84" s="356" t="s">
        <v>22</v>
      </c>
      <c r="E84" s="359">
        <v>2700</v>
      </c>
      <c r="F84" s="356">
        <f>D11+D35+D36</f>
        <v>3175.55</v>
      </c>
      <c r="G84" s="358" t="s">
        <v>18</v>
      </c>
      <c r="J84" s="350"/>
    </row>
    <row r="85" spans="2:12" ht="12" customHeight="1">
      <c r="B85" s="350"/>
      <c r="D85" s="356" t="s">
        <v>22</v>
      </c>
      <c r="E85" s="359">
        <v>6000</v>
      </c>
      <c r="F85" s="356">
        <f>D8</f>
        <v>14581.2</v>
      </c>
      <c r="G85" s="358" t="s">
        <v>18</v>
      </c>
      <c r="J85" s="350"/>
    </row>
    <row r="86" spans="2:12" ht="12" customHeight="1">
      <c r="B86" s="350"/>
      <c r="D86" s="356" t="s">
        <v>22</v>
      </c>
      <c r="E86" s="359">
        <v>100000</v>
      </c>
      <c r="F86" s="356">
        <f>D12</f>
        <v>456.08</v>
      </c>
      <c r="G86" s="358" t="s">
        <v>18</v>
      </c>
      <c r="J86" s="350"/>
    </row>
    <row r="87" spans="2:12" ht="12" customHeight="1">
      <c r="B87" s="350"/>
      <c r="D87" s="356" t="s">
        <v>184</v>
      </c>
      <c r="E87" s="357">
        <v>300</v>
      </c>
      <c r="F87" s="356">
        <f>D13+D14+D19+D20+D37+D38</f>
        <v>1256.8</v>
      </c>
      <c r="G87" s="358" t="s">
        <v>18</v>
      </c>
      <c r="J87" s="350"/>
    </row>
    <row r="88" spans="2:12" ht="12" customHeight="1">
      <c r="B88" s="350"/>
      <c r="D88" s="356" t="s">
        <v>19</v>
      </c>
      <c r="E88" s="357">
        <v>300</v>
      </c>
      <c r="F88" s="356">
        <f>D3+D16+D29</f>
        <v>179.79000000000002</v>
      </c>
      <c r="G88" s="358" t="s">
        <v>18</v>
      </c>
      <c r="J88" s="350"/>
    </row>
    <row r="89" spans="2:12" ht="12" customHeight="1">
      <c r="B89" s="350"/>
      <c r="D89" s="1331" t="s">
        <v>187</v>
      </c>
      <c r="E89" s="1331"/>
      <c r="F89" s="275">
        <f>SUM(F79:F88)</f>
        <v>30804.620000000003</v>
      </c>
      <c r="G89" s="304"/>
      <c r="J89" s="350"/>
    </row>
    <row r="90" spans="2:12" ht="12" customHeight="1">
      <c r="B90" s="350"/>
      <c r="D90" s="360" t="s">
        <v>19</v>
      </c>
      <c r="E90" s="361">
        <v>800</v>
      </c>
      <c r="F90" s="360">
        <f>D21+D39+D60</f>
        <v>1433.72</v>
      </c>
      <c r="G90" s="362" t="s">
        <v>28</v>
      </c>
      <c r="J90" s="350"/>
    </row>
    <row r="91" spans="2:12" ht="12" customHeight="1">
      <c r="B91" s="350"/>
      <c r="D91" s="360" t="s">
        <v>19</v>
      </c>
      <c r="E91" s="361">
        <v>1000</v>
      </c>
      <c r="F91" s="360">
        <f>D41</f>
        <v>175.46</v>
      </c>
      <c r="G91" s="362" t="s">
        <v>28</v>
      </c>
      <c r="J91" s="350"/>
    </row>
    <row r="92" spans="2:12" ht="12" customHeight="1">
      <c r="B92" s="350"/>
      <c r="D92" s="360" t="s">
        <v>19</v>
      </c>
      <c r="E92" s="361">
        <v>1500</v>
      </c>
      <c r="F92" s="360">
        <f>D23+D42+D62</f>
        <v>648.27</v>
      </c>
      <c r="G92" s="362" t="s">
        <v>28</v>
      </c>
      <c r="J92" s="363"/>
      <c r="K92" s="364"/>
      <c r="L92" s="364"/>
    </row>
    <row r="93" spans="2:12" ht="12" customHeight="1">
      <c r="B93" s="350"/>
      <c r="D93" s="360" t="s">
        <v>22</v>
      </c>
      <c r="E93" s="361">
        <v>1800</v>
      </c>
      <c r="F93" s="360">
        <f>D24+D25+D43+D44+D45+D63+D64+D65</f>
        <v>2165.63</v>
      </c>
      <c r="G93" s="362" t="s">
        <v>28</v>
      </c>
      <c r="J93" s="363"/>
      <c r="K93" s="364"/>
      <c r="L93" s="364"/>
    </row>
    <row r="94" spans="2:12" ht="12" customHeight="1">
      <c r="B94" s="350"/>
      <c r="D94" s="360" t="s">
        <v>22</v>
      </c>
      <c r="E94" s="365">
        <v>2700</v>
      </c>
      <c r="F94" s="360">
        <f>+D66+D46+D47</f>
        <v>2833.6</v>
      </c>
      <c r="G94" s="362" t="s">
        <v>28</v>
      </c>
      <c r="I94" s="366"/>
      <c r="J94" s="363"/>
      <c r="K94" s="364"/>
      <c r="L94" s="367"/>
    </row>
    <row r="95" spans="2:12" ht="12" customHeight="1">
      <c r="B95" s="350"/>
      <c r="D95" s="360" t="s">
        <v>22</v>
      </c>
      <c r="E95" s="365">
        <v>6000</v>
      </c>
      <c r="F95" s="360">
        <f>D49</f>
        <v>546</v>
      </c>
      <c r="G95" s="362" t="s">
        <v>28</v>
      </c>
      <c r="H95" s="366"/>
      <c r="I95" s="366"/>
      <c r="J95" s="363"/>
      <c r="K95" s="364"/>
      <c r="L95" s="364"/>
    </row>
    <row r="96" spans="2:12" ht="12" customHeight="1">
      <c r="B96" s="350"/>
      <c r="D96" s="360" t="s">
        <v>22</v>
      </c>
      <c r="E96" s="365">
        <v>100000</v>
      </c>
      <c r="F96" s="360">
        <f>D48</f>
        <v>1047.3</v>
      </c>
      <c r="G96" s="362" t="s">
        <v>28</v>
      </c>
      <c r="J96" s="363"/>
      <c r="K96" s="364"/>
      <c r="L96" s="364"/>
    </row>
    <row r="97" spans="2:12" ht="12" customHeight="1">
      <c r="B97" s="350"/>
      <c r="D97" s="368" t="s">
        <v>184</v>
      </c>
      <c r="E97" s="369">
        <v>300</v>
      </c>
      <c r="F97" s="368">
        <f>D26+D27+D50+D51+D67+D68</f>
        <v>461.78000000000003</v>
      </c>
      <c r="G97" s="370" t="s">
        <v>28</v>
      </c>
      <c r="J97" s="363"/>
      <c r="K97" s="364"/>
      <c r="L97" s="364"/>
    </row>
    <row r="98" spans="2:12" ht="12" customHeight="1">
      <c r="B98" s="350"/>
      <c r="C98" s="351"/>
      <c r="D98" s="368" t="s">
        <v>19</v>
      </c>
      <c r="E98" s="369">
        <v>300</v>
      </c>
      <c r="F98" s="368">
        <f>D61+D40+D22</f>
        <v>87.02000000000001</v>
      </c>
      <c r="G98" s="370" t="s">
        <v>28</v>
      </c>
      <c r="H98" s="353"/>
      <c r="I98" s="353"/>
      <c r="J98" s="363"/>
      <c r="K98" s="364"/>
      <c r="L98" s="364"/>
    </row>
    <row r="99" spans="2:12" ht="12" customHeight="1">
      <c r="B99" s="350"/>
      <c r="C99" s="351"/>
      <c r="D99" s="1334" t="s">
        <v>187</v>
      </c>
      <c r="E99" s="1334"/>
      <c r="F99" s="371">
        <f>SUM(F90:F98)</f>
        <v>9398.7800000000007</v>
      </c>
      <c r="G99" s="315"/>
      <c r="H99" s="353"/>
      <c r="I99" s="353"/>
      <c r="J99" s="363"/>
      <c r="K99" s="364"/>
      <c r="L99" s="364"/>
    </row>
    <row r="100" spans="2:12" ht="12" customHeight="1">
      <c r="B100" s="350"/>
      <c r="C100" s="351"/>
      <c r="D100" s="1336" t="s">
        <v>199</v>
      </c>
      <c r="E100" s="1337"/>
      <c r="F100" s="371">
        <f>F89+F99</f>
        <v>40203.4</v>
      </c>
      <c r="G100" s="315"/>
      <c r="H100" s="372"/>
      <c r="I100" s="353"/>
      <c r="J100" s="363"/>
      <c r="K100" s="367"/>
      <c r="L100" s="367"/>
    </row>
    <row r="101" spans="2:12" ht="12" customHeight="1">
      <c r="B101" s="350"/>
      <c r="C101" s="351"/>
      <c r="D101" s="373"/>
      <c r="E101" s="374"/>
      <c r="F101" s="375"/>
      <c r="G101" s="374"/>
      <c r="H101" s="353"/>
      <c r="I101" s="372"/>
      <c r="J101" s="363"/>
      <c r="K101" s="367"/>
      <c r="L101" s="376"/>
    </row>
    <row r="102" spans="2:12" ht="12" customHeight="1">
      <c r="B102" s="350"/>
      <c r="C102" s="351"/>
      <c r="D102" s="1335"/>
      <c r="E102" s="1335"/>
      <c r="F102" s="1335"/>
      <c r="G102" s="1335"/>
      <c r="H102" s="353"/>
      <c r="I102" s="353"/>
      <c r="J102" s="363"/>
      <c r="K102" s="376"/>
      <c r="L102" s="376"/>
    </row>
    <row r="103" spans="2:12">
      <c r="J103" s="378"/>
      <c r="K103" s="379"/>
      <c r="L103" s="364"/>
    </row>
    <row r="104" spans="2:12">
      <c r="J104" s="378"/>
      <c r="K104" s="379"/>
      <c r="L104" s="364"/>
    </row>
  </sheetData>
  <autoFilter ref="A1:J75">
    <filterColumn colId="9">
      <customFilters>
        <customFilter operator="notEqual" val=" "/>
      </customFilters>
    </filterColumn>
  </autoFilter>
  <mergeCells count="43">
    <mergeCell ref="D99:E99"/>
    <mergeCell ref="D102:G102"/>
    <mergeCell ref="D100:E100"/>
    <mergeCell ref="G72:G73"/>
    <mergeCell ref="H72:H74"/>
    <mergeCell ref="I72:I74"/>
    <mergeCell ref="A75:C75"/>
    <mergeCell ref="D89:E89"/>
    <mergeCell ref="H60:H68"/>
    <mergeCell ref="I60:I68"/>
    <mergeCell ref="G67:G68"/>
    <mergeCell ref="G69:G70"/>
    <mergeCell ref="H69:H71"/>
    <mergeCell ref="I69:I71"/>
    <mergeCell ref="G52:G54"/>
    <mergeCell ref="H52:H59"/>
    <mergeCell ref="I52:I59"/>
    <mergeCell ref="G55:G57"/>
    <mergeCell ref="G58:G59"/>
    <mergeCell ref="H39:H51"/>
    <mergeCell ref="I39:I51"/>
    <mergeCell ref="G50:G51"/>
    <mergeCell ref="G43:G49"/>
    <mergeCell ref="G39:G42"/>
    <mergeCell ref="G28:G31"/>
    <mergeCell ref="H28:H38"/>
    <mergeCell ref="I28:I38"/>
    <mergeCell ref="G32:G36"/>
    <mergeCell ref="G37:G38"/>
    <mergeCell ref="H15:H20"/>
    <mergeCell ref="I15:I20"/>
    <mergeCell ref="G17:G18"/>
    <mergeCell ref="G19:G20"/>
    <mergeCell ref="G21:G23"/>
    <mergeCell ref="H21:H27"/>
    <mergeCell ref="I21:I27"/>
    <mergeCell ref="G24:G25"/>
    <mergeCell ref="G26:G27"/>
    <mergeCell ref="G2:G6"/>
    <mergeCell ref="H2:H14"/>
    <mergeCell ref="I2:I14"/>
    <mergeCell ref="G7:G12"/>
    <mergeCell ref="G13:G14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C80"/>
  <sheetViews>
    <sheetView showGridLines="0" zoomScale="110" zoomScaleNormal="110" workbookViewId="0">
      <selection activeCell="F6" sqref="F6"/>
    </sheetView>
  </sheetViews>
  <sheetFormatPr defaultColWidth="9.109375" defaultRowHeight="13.8"/>
  <cols>
    <col min="1" max="1" width="4.88671875" style="208" customWidth="1"/>
    <col min="2" max="2" width="4" style="208" customWidth="1"/>
    <col min="3" max="3" width="34.21875" style="208" customWidth="1"/>
    <col min="4" max="4" width="14" style="208" customWidth="1"/>
    <col min="5" max="5" width="13" style="208" customWidth="1"/>
    <col min="6" max="6" width="12.6640625" style="208" customWidth="1"/>
    <col min="7" max="7" width="9.109375" style="208"/>
    <col min="8" max="8" width="11.33203125" style="208" bestFit="1" customWidth="1"/>
    <col min="9" max="237" width="9.109375" style="208"/>
    <col min="238" max="16384" width="9.109375" style="81"/>
  </cols>
  <sheetData>
    <row r="1" spans="1:8" ht="24.6" customHeight="1">
      <c r="A1" s="877" t="s">
        <v>597</v>
      </c>
      <c r="B1" s="877"/>
      <c r="C1" s="877"/>
      <c r="D1" s="877"/>
      <c r="E1" s="877"/>
      <c r="F1" s="877"/>
    </row>
    <row r="2" spans="1:8" ht="24.75" customHeight="1">
      <c r="A2" s="612" t="s">
        <v>0</v>
      </c>
      <c r="B2" s="876" t="s">
        <v>1</v>
      </c>
      <c r="C2" s="876"/>
      <c r="D2" s="613" t="s">
        <v>2</v>
      </c>
      <c r="E2" s="493" t="s">
        <v>364</v>
      </c>
      <c r="F2" s="494" t="s">
        <v>466</v>
      </c>
      <c r="G2" s="502"/>
    </row>
    <row r="3" spans="1:8" ht="24">
      <c r="A3" s="880">
        <v>1</v>
      </c>
      <c r="B3" s="882" t="s">
        <v>3</v>
      </c>
      <c r="C3" s="883" t="s">
        <v>4</v>
      </c>
      <c r="D3" s="231" t="s">
        <v>5</v>
      </c>
      <c r="E3" s="495">
        <f>Limpeza!I25</f>
        <v>48222.38</v>
      </c>
      <c r="F3" s="496">
        <f>20*E3</f>
        <v>964447.6</v>
      </c>
    </row>
    <row r="4" spans="1:8" ht="24">
      <c r="A4" s="880"/>
      <c r="B4" s="882"/>
      <c r="C4" s="883"/>
      <c r="D4" s="231" t="s">
        <v>6</v>
      </c>
      <c r="E4" s="495">
        <f>Limpeza!I37</f>
        <v>18018.099999999999</v>
      </c>
      <c r="F4" s="496">
        <f>E4*20</f>
        <v>360362</v>
      </c>
      <c r="H4"/>
    </row>
    <row r="5" spans="1:8" ht="27.6" customHeight="1">
      <c r="A5" s="880"/>
      <c r="B5" s="882"/>
      <c r="C5" s="743" t="s">
        <v>596</v>
      </c>
      <c r="D5" s="497">
        <v>3</v>
      </c>
      <c r="E5" s="495">
        <f>('Servente Sem VT'!I113)*D5</f>
        <v>10145.039999999999</v>
      </c>
      <c r="F5" s="496">
        <f>E5*20</f>
        <v>202900.8</v>
      </c>
    </row>
    <row r="6" spans="1:8" ht="19.5" customHeight="1">
      <c r="A6" s="880"/>
      <c r="B6" s="882"/>
      <c r="C6" s="884" t="s">
        <v>7</v>
      </c>
      <c r="D6" s="885"/>
      <c r="E6" s="498">
        <f>SUM(E3:E5)</f>
        <v>76385.51999999999</v>
      </c>
      <c r="F6" s="499">
        <f>SUM(F3:F5)</f>
        <v>1527710.4000000001</v>
      </c>
    </row>
    <row r="7" spans="1:8" ht="24" customHeight="1">
      <c r="A7" s="880"/>
      <c r="B7" s="886" t="s">
        <v>370</v>
      </c>
      <c r="C7" s="887"/>
      <c r="D7" s="887"/>
      <c r="E7" s="888"/>
      <c r="F7" s="500">
        <f>F6/20</f>
        <v>76385.52</v>
      </c>
    </row>
    <row r="8" spans="1:8" ht="24">
      <c r="A8" s="880">
        <v>2</v>
      </c>
      <c r="B8" s="882" t="s">
        <v>8</v>
      </c>
      <c r="C8" s="883" t="s">
        <v>9</v>
      </c>
      <c r="D8" s="497" t="s">
        <v>5</v>
      </c>
      <c r="E8" s="495">
        <f>Lavador!F6</f>
        <v>6839.24</v>
      </c>
      <c r="F8" s="496">
        <f>E8*20</f>
        <v>136784.79999999999</v>
      </c>
    </row>
    <row r="9" spans="1:8" ht="23.4" customHeight="1">
      <c r="A9" s="880"/>
      <c r="B9" s="882"/>
      <c r="C9" s="883"/>
      <c r="D9" s="497" t="s">
        <v>6</v>
      </c>
      <c r="E9" s="495">
        <f>Lavador!F7</f>
        <v>6879.42</v>
      </c>
      <c r="F9" s="496">
        <f>E9*20</f>
        <v>137588.4</v>
      </c>
    </row>
    <row r="10" spans="1:8" ht="21" customHeight="1">
      <c r="A10" s="880"/>
      <c r="B10" s="882"/>
      <c r="C10" s="884" t="s">
        <v>7</v>
      </c>
      <c r="D10" s="885"/>
      <c r="E10" s="498">
        <f t="shared" ref="E10:F10" si="0">SUM(E8:E9)</f>
        <v>13718.66</v>
      </c>
      <c r="F10" s="499">
        <f t="shared" si="0"/>
        <v>274373.19999999995</v>
      </c>
    </row>
    <row r="11" spans="1:8" ht="21.75" customHeight="1">
      <c r="A11" s="881"/>
      <c r="B11" s="889" t="s">
        <v>379</v>
      </c>
      <c r="C11" s="890"/>
      <c r="D11" s="890"/>
      <c r="E11" s="888"/>
      <c r="F11" s="501">
        <f>F10/20</f>
        <v>13718.659999999998</v>
      </c>
    </row>
    <row r="12" spans="1:8" ht="30.6" customHeight="1">
      <c r="A12" s="891" t="s">
        <v>614</v>
      </c>
      <c r="B12" s="892"/>
      <c r="C12" s="892"/>
      <c r="D12" s="892"/>
      <c r="E12" s="893"/>
      <c r="F12" s="614">
        <f>F6+F10</f>
        <v>1802083.6</v>
      </c>
    </row>
    <row r="13" spans="1:8" ht="21.75" customHeight="1">
      <c r="A13" s="878" t="s">
        <v>609</v>
      </c>
      <c r="B13" s="878"/>
      <c r="C13" s="878"/>
      <c r="D13" s="878"/>
      <c r="E13" s="879"/>
      <c r="F13" s="614">
        <f>F12/20</f>
        <v>90104.180000000008</v>
      </c>
    </row>
    <row r="79" ht="12.75" customHeight="1"/>
    <row r="80" ht="12.75" customHeight="1"/>
  </sheetData>
  <mergeCells count="14">
    <mergeCell ref="B2:C2"/>
    <mergeCell ref="A1:F1"/>
    <mergeCell ref="A13:E13"/>
    <mergeCell ref="A8:A11"/>
    <mergeCell ref="A3:A7"/>
    <mergeCell ref="B3:B6"/>
    <mergeCell ref="C3:C4"/>
    <mergeCell ref="C6:D6"/>
    <mergeCell ref="B7:E7"/>
    <mergeCell ref="B8:B10"/>
    <mergeCell ref="C8:C9"/>
    <mergeCell ref="C10:D10"/>
    <mergeCell ref="B11:E11"/>
    <mergeCell ref="A12:E12"/>
  </mergeCells>
  <printOptions horizontalCentered="1" verticalCentered="1"/>
  <pageMargins left="0.25" right="0.25" top="0.75" bottom="0.75" header="0.3" footer="0.3"/>
  <pageSetup paperSize="9" scale="75" firstPageNumber="0" fitToHeight="0" orientation="landscape" r:id="rId1"/>
  <ignoredErrors>
    <ignoredError sqref="F13 F6 F5 F3:F4 F7:F9 F11" unlockedFormula="1"/>
    <ignoredError sqref="F12 F10" formula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66FF66"/>
    <pageSetUpPr fitToPage="1"/>
  </sheetPr>
  <dimension ref="A1:IP15"/>
  <sheetViews>
    <sheetView showGridLines="0" zoomScale="120" zoomScaleNormal="120" workbookViewId="0">
      <selection activeCell="I4" sqref="I4"/>
    </sheetView>
  </sheetViews>
  <sheetFormatPr defaultColWidth="9.109375" defaultRowHeight="13.8"/>
  <cols>
    <col min="1" max="1" width="9.109375" style="203" customWidth="1"/>
    <col min="2" max="2" width="10.77734375" style="203" customWidth="1"/>
    <col min="3" max="4" width="8.33203125" style="203" customWidth="1"/>
    <col min="5" max="5" width="9.88671875" style="203" customWidth="1"/>
    <col min="6" max="6" width="10.77734375" style="203" customWidth="1"/>
    <col min="7" max="7" width="12.6640625" style="203" customWidth="1"/>
    <col min="8" max="250" width="9.109375" style="203"/>
    <col min="251" max="16384" width="9.109375" style="81"/>
  </cols>
  <sheetData>
    <row r="1" spans="1:248" ht="30" customHeight="1">
      <c r="A1" s="894" t="s">
        <v>599</v>
      </c>
      <c r="B1" s="894"/>
      <c r="C1" s="894"/>
      <c r="D1" s="894"/>
      <c r="E1" s="894"/>
      <c r="F1" s="894"/>
      <c r="G1" s="894"/>
    </row>
    <row r="2" spans="1:248" ht="25.8" customHeight="1">
      <c r="A2" s="908" t="s">
        <v>35</v>
      </c>
      <c r="B2" s="908" t="s">
        <v>439</v>
      </c>
      <c r="C2" s="907" t="s">
        <v>11</v>
      </c>
      <c r="D2" s="910" t="s">
        <v>385</v>
      </c>
      <c r="E2" s="900" t="s">
        <v>580</v>
      </c>
      <c r="F2" s="900"/>
      <c r="G2" s="900"/>
    </row>
    <row r="3" spans="1:248" ht="36.6" customHeight="1">
      <c r="A3" s="909"/>
      <c r="B3" s="909"/>
      <c r="C3" s="908"/>
      <c r="D3" s="911"/>
      <c r="E3" s="445" t="s">
        <v>613</v>
      </c>
      <c r="F3" s="445" t="s">
        <v>612</v>
      </c>
      <c r="G3" s="445" t="s">
        <v>610</v>
      </c>
    </row>
    <row r="4" spans="1:248" ht="30.6" customHeight="1">
      <c r="A4" s="898" t="s">
        <v>36</v>
      </c>
      <c r="B4" s="232" t="s">
        <v>215</v>
      </c>
      <c r="C4" s="232" t="s">
        <v>440</v>
      </c>
      <c r="D4" s="474">
        <v>1</v>
      </c>
      <c r="E4" s="476">
        <f>'Lavador c VT PVH'!I113</f>
        <v>3436.42</v>
      </c>
      <c r="F4" s="476">
        <f>E4*D4</f>
        <v>3436.42</v>
      </c>
      <c r="G4" s="476">
        <f>F4*20</f>
        <v>68728.399999999994</v>
      </c>
    </row>
    <row r="5" spans="1:248" ht="29.4" customHeight="1">
      <c r="A5" s="899"/>
      <c r="B5" s="233" t="s">
        <v>217</v>
      </c>
      <c r="C5" s="233" t="s">
        <v>441</v>
      </c>
      <c r="D5" s="475">
        <v>1</v>
      </c>
      <c r="E5" s="476">
        <f>'Lavador c VT JPN'!I113</f>
        <v>3402.82</v>
      </c>
      <c r="F5" s="476">
        <f>E5*D5</f>
        <v>3402.82</v>
      </c>
      <c r="G5" s="476">
        <f>F5*20</f>
        <v>68056.400000000009</v>
      </c>
    </row>
    <row r="6" spans="1:248" ht="29.4" customHeight="1">
      <c r="A6" s="899"/>
      <c r="B6" s="901" t="s">
        <v>369</v>
      </c>
      <c r="C6" s="902"/>
      <c r="D6" s="902"/>
      <c r="E6" s="903"/>
      <c r="F6" s="757">
        <f>SUM(F4:F5)</f>
        <v>6839.24</v>
      </c>
      <c r="G6" s="757">
        <f>SUM(G4:G5)</f>
        <v>136784.79999999999</v>
      </c>
    </row>
    <row r="7" spans="1:248" ht="35.4" customHeight="1">
      <c r="A7" s="899"/>
      <c r="B7" s="754" t="s">
        <v>598</v>
      </c>
      <c r="C7" s="754" t="s">
        <v>442</v>
      </c>
      <c r="D7" s="755">
        <v>2</v>
      </c>
      <c r="E7" s="756">
        <f>'Lavador Sem VT'!I113</f>
        <v>3439.71</v>
      </c>
      <c r="F7" s="757">
        <f>E7*D7</f>
        <v>6879.42</v>
      </c>
      <c r="G7" s="757">
        <f>F7*20</f>
        <v>137588.4</v>
      </c>
    </row>
    <row r="8" spans="1:248" ht="24.75" customHeight="1">
      <c r="A8" s="904" t="s">
        <v>611</v>
      </c>
      <c r="B8" s="905"/>
      <c r="C8" s="905"/>
      <c r="D8" s="905"/>
      <c r="E8" s="906"/>
      <c r="F8" s="753">
        <f>F6+F7</f>
        <v>13718.66</v>
      </c>
      <c r="G8" s="477">
        <f>G6+G7</f>
        <v>274373.19999999995</v>
      </c>
    </row>
    <row r="9" spans="1:248" ht="20.100000000000001" hidden="1" customHeight="1"/>
    <row r="10" spans="1:248" s="209" customFormat="1" ht="14.4" hidden="1" customHeight="1">
      <c r="A10" s="197" t="s">
        <v>267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8"/>
      <c r="BP10" s="198"/>
      <c r="BQ10" s="198"/>
      <c r="BR10" s="198"/>
      <c r="BS10" s="198"/>
      <c r="BT10" s="198"/>
      <c r="BU10" s="198"/>
      <c r="BV10" s="198"/>
      <c r="BW10" s="198"/>
      <c r="BX10" s="198"/>
      <c r="BY10" s="198"/>
      <c r="BZ10" s="198"/>
      <c r="CA10" s="198"/>
      <c r="CB10" s="198"/>
      <c r="CC10" s="198"/>
      <c r="CD10" s="198"/>
      <c r="CE10" s="198"/>
      <c r="CF10" s="198"/>
      <c r="CG10" s="198"/>
      <c r="CH10" s="198"/>
      <c r="CI10" s="198"/>
      <c r="CJ10" s="198"/>
      <c r="CK10" s="198"/>
      <c r="CL10" s="198"/>
      <c r="CM10" s="198"/>
      <c r="CN10" s="198"/>
      <c r="CO10" s="198"/>
      <c r="CP10" s="198"/>
      <c r="CQ10" s="198"/>
      <c r="CR10" s="198"/>
      <c r="CS10" s="198"/>
      <c r="CT10" s="198"/>
      <c r="CU10" s="198"/>
      <c r="CV10" s="198"/>
      <c r="CW10" s="198"/>
      <c r="CX10" s="198"/>
      <c r="CY10" s="198"/>
      <c r="CZ10" s="198"/>
      <c r="DA10" s="198"/>
      <c r="DB10" s="198"/>
      <c r="DC10" s="198"/>
      <c r="DD10" s="198"/>
      <c r="DE10" s="198"/>
      <c r="DF10" s="198"/>
      <c r="DG10" s="198"/>
      <c r="DH10" s="198"/>
      <c r="DI10" s="198"/>
      <c r="DJ10" s="198"/>
      <c r="DK10" s="198"/>
      <c r="DL10" s="198"/>
      <c r="DM10" s="198"/>
      <c r="DN10" s="198"/>
      <c r="DO10" s="198"/>
      <c r="DP10" s="198"/>
      <c r="DQ10" s="198"/>
      <c r="DR10" s="198"/>
      <c r="DS10" s="198"/>
      <c r="DT10" s="198"/>
      <c r="DU10" s="198"/>
      <c r="DV10" s="198"/>
      <c r="DW10" s="198"/>
      <c r="DX10" s="198"/>
      <c r="DY10" s="198"/>
      <c r="DZ10" s="198"/>
      <c r="EA10" s="198"/>
      <c r="EB10" s="198"/>
      <c r="EC10" s="198"/>
      <c r="ED10" s="198"/>
      <c r="EE10" s="198"/>
      <c r="EF10" s="198"/>
      <c r="EG10" s="198"/>
      <c r="EH10" s="198"/>
      <c r="EI10" s="198"/>
      <c r="EJ10" s="198"/>
      <c r="EK10" s="198"/>
      <c r="EL10" s="198"/>
      <c r="EM10" s="198"/>
      <c r="EN10" s="198"/>
      <c r="EO10" s="198"/>
      <c r="EP10" s="198"/>
      <c r="EQ10" s="198"/>
      <c r="ER10" s="198"/>
      <c r="ES10" s="198"/>
      <c r="ET10" s="198"/>
      <c r="EU10" s="198"/>
      <c r="EV10" s="198"/>
      <c r="EW10" s="198"/>
      <c r="EX10" s="198"/>
      <c r="EY10" s="198"/>
      <c r="EZ10" s="198"/>
      <c r="FA10" s="198"/>
      <c r="FB10" s="198"/>
      <c r="FC10" s="198"/>
      <c r="FD10" s="198"/>
      <c r="FE10" s="198"/>
      <c r="FF10" s="198"/>
      <c r="FG10" s="198"/>
      <c r="FH10" s="198"/>
      <c r="FI10" s="198"/>
      <c r="FJ10" s="198"/>
      <c r="FK10" s="198"/>
      <c r="FL10" s="198"/>
      <c r="FM10" s="198"/>
      <c r="FN10" s="198"/>
      <c r="FO10" s="198"/>
      <c r="FP10" s="198"/>
      <c r="FQ10" s="198"/>
      <c r="FR10" s="198"/>
      <c r="FS10" s="198"/>
      <c r="FT10" s="198"/>
      <c r="FU10" s="198"/>
      <c r="FV10" s="198"/>
      <c r="FW10" s="198"/>
      <c r="FX10" s="198"/>
      <c r="FY10" s="198"/>
      <c r="FZ10" s="198"/>
      <c r="GA10" s="198"/>
      <c r="GB10" s="198"/>
      <c r="GC10" s="198"/>
      <c r="GD10" s="198"/>
      <c r="GE10" s="198"/>
      <c r="GF10" s="198"/>
      <c r="GG10" s="198"/>
      <c r="GH10" s="198"/>
      <c r="GI10" s="198"/>
      <c r="GJ10" s="198"/>
      <c r="GK10" s="198"/>
      <c r="GL10" s="198"/>
      <c r="GM10" s="198"/>
      <c r="GN10" s="198"/>
      <c r="GO10" s="198"/>
      <c r="GP10" s="198"/>
      <c r="GQ10" s="198"/>
      <c r="GR10" s="198"/>
      <c r="GS10" s="198"/>
      <c r="GT10" s="198"/>
      <c r="GU10" s="198"/>
      <c r="GV10" s="198"/>
      <c r="GW10" s="198"/>
      <c r="GX10" s="198"/>
      <c r="GY10" s="198"/>
      <c r="GZ10" s="198"/>
      <c r="HA10" s="198"/>
      <c r="HB10" s="198"/>
      <c r="HC10" s="198"/>
      <c r="HD10" s="198"/>
      <c r="HE10" s="198"/>
      <c r="HF10" s="198"/>
      <c r="HG10" s="198"/>
      <c r="HH10" s="198"/>
      <c r="HI10" s="198"/>
      <c r="HJ10" s="198"/>
      <c r="HK10" s="198"/>
      <c r="HL10" s="198"/>
      <c r="HM10" s="198"/>
      <c r="HN10" s="198"/>
      <c r="HO10" s="198"/>
      <c r="HP10" s="198"/>
      <c r="HQ10" s="198"/>
      <c r="HR10" s="198"/>
      <c r="HS10" s="198"/>
      <c r="HT10" s="198"/>
      <c r="HU10" s="198"/>
      <c r="HV10" s="198"/>
      <c r="HW10" s="198"/>
      <c r="HX10" s="198"/>
      <c r="HY10" s="198"/>
      <c r="HZ10" s="198"/>
      <c r="IA10" s="198"/>
      <c r="IB10" s="198"/>
      <c r="IC10" s="198"/>
      <c r="ID10" s="198"/>
    </row>
    <row r="11" spans="1:248" s="209" customFormat="1" ht="14.4" hidden="1" customHeight="1">
      <c r="A11" s="210" t="s">
        <v>268</v>
      </c>
      <c r="B11" s="211"/>
      <c r="C11" s="211"/>
      <c r="D11" s="211"/>
      <c r="E11" s="211"/>
      <c r="F11" s="211"/>
      <c r="G11" s="211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8"/>
      <c r="CC11" s="198"/>
      <c r="CD11" s="198"/>
      <c r="CE11" s="198"/>
      <c r="CF11" s="198"/>
      <c r="CG11" s="198"/>
      <c r="CH11" s="198"/>
      <c r="CI11" s="198"/>
      <c r="CJ11" s="198"/>
      <c r="CK11" s="198"/>
      <c r="CL11" s="198"/>
      <c r="CM11" s="198"/>
      <c r="CN11" s="198"/>
      <c r="CO11" s="198"/>
      <c r="CP11" s="198"/>
      <c r="CQ11" s="198"/>
      <c r="CR11" s="198"/>
      <c r="CS11" s="198"/>
      <c r="CT11" s="198"/>
      <c r="CU11" s="198"/>
      <c r="CV11" s="198"/>
      <c r="CW11" s="198"/>
      <c r="CX11" s="198"/>
      <c r="CY11" s="198"/>
      <c r="CZ11" s="198"/>
      <c r="DA11" s="198"/>
      <c r="DB11" s="198"/>
      <c r="DC11" s="198"/>
      <c r="DD11" s="198"/>
      <c r="DE11" s="198"/>
      <c r="DF11" s="198"/>
      <c r="DG11" s="198"/>
      <c r="DH11" s="198"/>
      <c r="DI11" s="198"/>
      <c r="DJ11" s="198"/>
      <c r="DK11" s="198"/>
      <c r="DL11" s="198"/>
      <c r="DM11" s="198"/>
      <c r="DN11" s="198"/>
      <c r="DO11" s="198"/>
      <c r="DP11" s="198"/>
      <c r="DQ11" s="198"/>
      <c r="DR11" s="198"/>
      <c r="DS11" s="198"/>
      <c r="DT11" s="198"/>
      <c r="DU11" s="198"/>
      <c r="DV11" s="198"/>
      <c r="DW11" s="198"/>
      <c r="DX11" s="198"/>
      <c r="DY11" s="198"/>
      <c r="DZ11" s="198"/>
      <c r="EA11" s="198"/>
      <c r="EB11" s="198"/>
      <c r="EC11" s="198"/>
      <c r="ED11" s="198"/>
      <c r="EE11" s="198"/>
      <c r="EF11" s="198"/>
      <c r="EG11" s="198"/>
      <c r="EH11" s="198"/>
      <c r="EI11" s="198"/>
      <c r="EJ11" s="198"/>
      <c r="EK11" s="198"/>
      <c r="EL11" s="198"/>
      <c r="EM11" s="198"/>
      <c r="EN11" s="198"/>
      <c r="EO11" s="198"/>
      <c r="EP11" s="198"/>
      <c r="EQ11" s="198"/>
      <c r="ER11" s="198"/>
      <c r="ES11" s="198"/>
      <c r="ET11" s="198"/>
      <c r="EU11" s="198"/>
      <c r="EV11" s="198"/>
      <c r="EW11" s="198"/>
      <c r="EX11" s="198"/>
      <c r="EY11" s="198"/>
      <c r="EZ11" s="198"/>
      <c r="FA11" s="198"/>
      <c r="FB11" s="198"/>
      <c r="FC11" s="198"/>
      <c r="FD11" s="198"/>
      <c r="FE11" s="198"/>
      <c r="FF11" s="198"/>
      <c r="FG11" s="198"/>
      <c r="FH11" s="198"/>
      <c r="FI11" s="198"/>
      <c r="FJ11" s="198"/>
      <c r="FK11" s="198"/>
      <c r="FL11" s="198"/>
      <c r="FM11" s="198"/>
      <c r="FN11" s="198"/>
      <c r="FO11" s="198"/>
      <c r="FP11" s="198"/>
      <c r="FQ11" s="198"/>
      <c r="FR11" s="198"/>
      <c r="FS11" s="198"/>
      <c r="FT11" s="198"/>
      <c r="FU11" s="198"/>
      <c r="FV11" s="198"/>
      <c r="FW11" s="198"/>
      <c r="FX11" s="198"/>
      <c r="FY11" s="198"/>
      <c r="FZ11" s="198"/>
      <c r="GA11" s="198"/>
      <c r="GB11" s="198"/>
      <c r="GC11" s="198"/>
      <c r="GD11" s="198"/>
      <c r="GE11" s="198"/>
      <c r="GF11" s="198"/>
      <c r="GG11" s="198"/>
      <c r="GH11" s="198"/>
      <c r="GI11" s="198"/>
      <c r="GJ11" s="198"/>
      <c r="GK11" s="198"/>
      <c r="GL11" s="198"/>
      <c r="GM11" s="198"/>
      <c r="GN11" s="198"/>
      <c r="GO11" s="198"/>
      <c r="GP11" s="198"/>
      <c r="GQ11" s="198"/>
      <c r="GR11" s="198"/>
      <c r="GS11" s="198"/>
      <c r="GT11" s="198"/>
      <c r="GU11" s="198"/>
      <c r="GV11" s="198"/>
      <c r="GW11" s="198"/>
      <c r="GX11" s="198"/>
      <c r="GY11" s="198"/>
      <c r="GZ11" s="198"/>
      <c r="HA11" s="198"/>
      <c r="HB11" s="198"/>
      <c r="HC11" s="198"/>
      <c r="HD11" s="198"/>
      <c r="HE11" s="198"/>
      <c r="HF11" s="198"/>
      <c r="HG11" s="198"/>
      <c r="HH11" s="198"/>
      <c r="HI11" s="198"/>
      <c r="HJ11" s="198"/>
      <c r="HK11" s="198"/>
      <c r="HL11" s="198"/>
      <c r="HM11" s="198"/>
      <c r="HN11" s="198"/>
      <c r="HO11" s="198"/>
      <c r="HP11" s="198"/>
      <c r="HQ11" s="198"/>
      <c r="HR11" s="198"/>
      <c r="HS11" s="198"/>
      <c r="HT11" s="198"/>
      <c r="HU11" s="198"/>
      <c r="HV11" s="198"/>
      <c r="HW11" s="198"/>
      <c r="HX11" s="198"/>
      <c r="HY11" s="198"/>
      <c r="HZ11" s="198"/>
      <c r="IA11" s="198"/>
      <c r="IB11" s="198"/>
      <c r="IC11" s="198"/>
      <c r="ID11" s="198"/>
    </row>
    <row r="12" spans="1:248" s="209" customFormat="1" hidden="1">
      <c r="A12" s="897" t="s">
        <v>328</v>
      </c>
      <c r="B12" s="897"/>
      <c r="C12" s="897"/>
      <c r="D12" s="897"/>
      <c r="E12" s="897"/>
      <c r="F12" s="897"/>
      <c r="G12" s="897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198"/>
      <c r="BR12" s="198"/>
      <c r="BS12" s="198"/>
      <c r="BT12" s="198"/>
      <c r="BU12" s="198"/>
      <c r="BV12" s="198"/>
      <c r="BW12" s="198"/>
      <c r="BX12" s="198"/>
      <c r="BY12" s="198"/>
      <c r="BZ12" s="198"/>
      <c r="CA12" s="198"/>
      <c r="CB12" s="198"/>
      <c r="CC12" s="198"/>
      <c r="CD12" s="198"/>
      <c r="CE12" s="198"/>
      <c r="CF12" s="198"/>
      <c r="CG12" s="198"/>
      <c r="CH12" s="198"/>
      <c r="CI12" s="198"/>
      <c r="CJ12" s="198"/>
      <c r="CK12" s="198"/>
      <c r="CL12" s="198"/>
      <c r="CM12" s="198"/>
      <c r="CN12" s="198"/>
      <c r="CO12" s="198"/>
      <c r="CP12" s="198"/>
      <c r="CQ12" s="198"/>
      <c r="CR12" s="198"/>
      <c r="CS12" s="198"/>
      <c r="CT12" s="198"/>
      <c r="CU12" s="198"/>
      <c r="CV12" s="198"/>
      <c r="CW12" s="198"/>
      <c r="CX12" s="198"/>
      <c r="CY12" s="198"/>
      <c r="CZ12" s="198"/>
      <c r="DA12" s="198"/>
      <c r="DB12" s="198"/>
      <c r="DC12" s="198"/>
      <c r="DD12" s="198"/>
      <c r="DE12" s="198"/>
      <c r="DF12" s="198"/>
      <c r="DG12" s="198"/>
      <c r="DH12" s="198"/>
      <c r="DI12" s="198"/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8"/>
      <c r="EK12" s="198"/>
      <c r="EL12" s="198"/>
      <c r="EM12" s="198"/>
      <c r="EN12" s="198"/>
      <c r="EO12" s="198"/>
      <c r="EP12" s="198"/>
      <c r="EQ12" s="198"/>
      <c r="ER12" s="198"/>
      <c r="ES12" s="198"/>
      <c r="ET12" s="198"/>
      <c r="EU12" s="198"/>
      <c r="EV12" s="198"/>
      <c r="EW12" s="198"/>
      <c r="EX12" s="198"/>
      <c r="EY12" s="198"/>
      <c r="EZ12" s="198"/>
      <c r="FA12" s="198"/>
      <c r="FB12" s="198"/>
      <c r="FC12" s="198"/>
      <c r="FD12" s="198"/>
      <c r="FE12" s="198"/>
      <c r="FF12" s="198"/>
      <c r="FG12" s="198"/>
      <c r="FH12" s="198"/>
      <c r="FI12" s="198"/>
      <c r="FJ12" s="198"/>
      <c r="FK12" s="198"/>
      <c r="FL12" s="198"/>
      <c r="FM12" s="198"/>
      <c r="FN12" s="198"/>
      <c r="FO12" s="198"/>
      <c r="FP12" s="198"/>
      <c r="FQ12" s="198"/>
      <c r="FR12" s="198"/>
      <c r="FS12" s="198"/>
      <c r="FT12" s="198"/>
      <c r="FU12" s="198"/>
      <c r="FV12" s="198"/>
      <c r="FW12" s="198"/>
      <c r="FX12" s="198"/>
      <c r="FY12" s="198"/>
      <c r="FZ12" s="198"/>
      <c r="GA12" s="198"/>
      <c r="GB12" s="198"/>
      <c r="GC12" s="198"/>
      <c r="GD12" s="198"/>
      <c r="GE12" s="198"/>
      <c r="GF12" s="198"/>
      <c r="GG12" s="198"/>
      <c r="GH12" s="198"/>
      <c r="GI12" s="198"/>
      <c r="GJ12" s="198"/>
      <c r="GK12" s="198"/>
      <c r="GL12" s="198"/>
      <c r="GM12" s="198"/>
      <c r="GN12" s="198"/>
      <c r="GO12" s="198"/>
      <c r="GP12" s="198"/>
      <c r="GQ12" s="198"/>
      <c r="GR12" s="198"/>
      <c r="GS12" s="198"/>
      <c r="GT12" s="198"/>
      <c r="GU12" s="198"/>
      <c r="GV12" s="198"/>
      <c r="GW12" s="198"/>
      <c r="GX12" s="198"/>
      <c r="GY12" s="198"/>
      <c r="GZ12" s="198"/>
      <c r="HA12" s="198"/>
      <c r="HB12" s="198"/>
      <c r="HC12" s="198"/>
      <c r="HD12" s="198"/>
      <c r="HE12" s="198"/>
      <c r="HF12" s="198"/>
      <c r="HG12" s="198"/>
      <c r="HH12" s="198"/>
      <c r="HI12" s="198"/>
      <c r="HJ12" s="198"/>
      <c r="HK12" s="198"/>
      <c r="HL12" s="198"/>
      <c r="HM12" s="198"/>
      <c r="HN12" s="198"/>
      <c r="HO12" s="198"/>
      <c r="HP12" s="198"/>
      <c r="HQ12" s="198"/>
      <c r="HR12" s="198"/>
      <c r="HS12" s="198"/>
      <c r="HT12" s="198"/>
      <c r="HU12" s="198"/>
      <c r="HV12" s="198"/>
      <c r="HW12" s="198"/>
      <c r="HX12" s="198"/>
      <c r="HY12" s="198"/>
      <c r="HZ12" s="198"/>
      <c r="IA12" s="198"/>
      <c r="IB12" s="198"/>
      <c r="IC12" s="198"/>
      <c r="ID12" s="198"/>
    </row>
    <row r="13" spans="1:248" s="209" customFormat="1" hidden="1">
      <c r="A13" s="199"/>
      <c r="B13" s="199"/>
      <c r="C13" s="199"/>
      <c r="D13" s="199"/>
      <c r="E13" s="199"/>
      <c r="F13" s="199"/>
      <c r="G13" s="199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198"/>
      <c r="BR13" s="198"/>
      <c r="BS13" s="198"/>
      <c r="BT13" s="198"/>
      <c r="BU13" s="198"/>
      <c r="BV13" s="198"/>
      <c r="BW13" s="198"/>
      <c r="BX13" s="198"/>
      <c r="BY13" s="198"/>
      <c r="BZ13" s="198"/>
      <c r="CA13" s="198"/>
      <c r="CB13" s="198"/>
      <c r="CC13" s="198"/>
      <c r="CD13" s="198"/>
      <c r="CE13" s="198"/>
      <c r="CF13" s="198"/>
      <c r="CG13" s="198"/>
      <c r="CH13" s="198"/>
      <c r="CI13" s="198"/>
      <c r="CJ13" s="198"/>
      <c r="CK13" s="198"/>
      <c r="CL13" s="198"/>
      <c r="CM13" s="198"/>
      <c r="CN13" s="198"/>
      <c r="CO13" s="198"/>
      <c r="CP13" s="198"/>
      <c r="CQ13" s="198"/>
      <c r="CR13" s="198"/>
      <c r="CS13" s="198"/>
      <c r="CT13" s="198"/>
      <c r="CU13" s="198"/>
      <c r="CV13" s="198"/>
      <c r="CW13" s="198"/>
      <c r="CX13" s="198"/>
      <c r="CY13" s="198"/>
      <c r="CZ13" s="198"/>
      <c r="DA13" s="198"/>
      <c r="DB13" s="198"/>
      <c r="DC13" s="198"/>
      <c r="DD13" s="198"/>
      <c r="DE13" s="198"/>
      <c r="DF13" s="198"/>
      <c r="DG13" s="198"/>
      <c r="DH13" s="198"/>
      <c r="DI13" s="198"/>
      <c r="DJ13" s="198"/>
      <c r="DK13" s="198"/>
      <c r="DL13" s="198"/>
      <c r="DM13" s="198"/>
      <c r="DN13" s="198"/>
      <c r="DO13" s="198"/>
      <c r="DP13" s="198"/>
      <c r="DQ13" s="198"/>
      <c r="DR13" s="198"/>
      <c r="DS13" s="198"/>
      <c r="DT13" s="198"/>
      <c r="DU13" s="198"/>
      <c r="DV13" s="198"/>
      <c r="DW13" s="198"/>
      <c r="DX13" s="198"/>
      <c r="DY13" s="198"/>
      <c r="DZ13" s="198"/>
      <c r="EA13" s="198"/>
      <c r="EB13" s="198"/>
      <c r="EC13" s="198"/>
      <c r="ED13" s="198"/>
      <c r="EE13" s="198"/>
      <c r="EF13" s="198"/>
      <c r="EG13" s="198"/>
      <c r="EH13" s="198"/>
      <c r="EI13" s="198"/>
      <c r="EJ13" s="198"/>
      <c r="EK13" s="198"/>
      <c r="EL13" s="198"/>
      <c r="EM13" s="198"/>
      <c r="EN13" s="198"/>
      <c r="EO13" s="198"/>
      <c r="EP13" s="198"/>
      <c r="EQ13" s="198"/>
      <c r="ER13" s="198"/>
      <c r="ES13" s="198"/>
      <c r="ET13" s="198"/>
      <c r="EU13" s="198"/>
      <c r="EV13" s="198"/>
      <c r="EW13" s="198"/>
      <c r="EX13" s="198"/>
      <c r="EY13" s="198"/>
      <c r="EZ13" s="198"/>
      <c r="FA13" s="198"/>
      <c r="FB13" s="198"/>
      <c r="FC13" s="198"/>
      <c r="FD13" s="198"/>
      <c r="FE13" s="198"/>
      <c r="FF13" s="198"/>
      <c r="FG13" s="198"/>
      <c r="FH13" s="198"/>
      <c r="FI13" s="198"/>
      <c r="FJ13" s="198"/>
      <c r="FK13" s="198"/>
      <c r="FL13" s="198"/>
      <c r="FM13" s="198"/>
      <c r="FN13" s="198"/>
      <c r="FO13" s="198"/>
      <c r="FP13" s="198"/>
      <c r="FQ13" s="198"/>
      <c r="FR13" s="198"/>
      <c r="FS13" s="198"/>
      <c r="FT13" s="198"/>
      <c r="FU13" s="198"/>
      <c r="FV13" s="198"/>
      <c r="FW13" s="198"/>
      <c r="FX13" s="198"/>
      <c r="FY13" s="198"/>
      <c r="FZ13" s="198"/>
      <c r="GA13" s="198"/>
      <c r="GB13" s="198"/>
      <c r="GC13" s="198"/>
      <c r="GD13" s="198"/>
      <c r="GE13" s="198"/>
      <c r="GF13" s="198"/>
      <c r="GG13" s="198"/>
      <c r="GH13" s="198"/>
      <c r="GI13" s="198"/>
      <c r="GJ13" s="198"/>
      <c r="GK13" s="198"/>
      <c r="GL13" s="198"/>
      <c r="GM13" s="198"/>
      <c r="GN13" s="198"/>
      <c r="GO13" s="198"/>
      <c r="GP13" s="198"/>
      <c r="GQ13" s="198"/>
      <c r="GR13" s="198"/>
      <c r="GS13" s="198"/>
      <c r="GT13" s="198"/>
      <c r="GU13" s="198"/>
      <c r="GV13" s="198"/>
      <c r="GW13" s="198"/>
      <c r="GX13" s="198"/>
      <c r="GY13" s="198"/>
      <c r="GZ13" s="198"/>
      <c r="HA13" s="198"/>
      <c r="HB13" s="198"/>
      <c r="HC13" s="198"/>
      <c r="HD13" s="198"/>
      <c r="HE13" s="198"/>
      <c r="HF13" s="198"/>
      <c r="HG13" s="198"/>
      <c r="HH13" s="198"/>
      <c r="HI13" s="198"/>
      <c r="HJ13" s="198"/>
      <c r="HK13" s="198"/>
      <c r="HL13" s="198"/>
      <c r="HM13" s="198"/>
      <c r="HN13" s="198"/>
      <c r="HO13" s="198"/>
      <c r="HP13" s="198"/>
      <c r="HQ13" s="198"/>
      <c r="HR13" s="198"/>
      <c r="HS13" s="198"/>
      <c r="HT13" s="198"/>
      <c r="HU13" s="198"/>
      <c r="HV13" s="198"/>
      <c r="HW13" s="198"/>
      <c r="HX13" s="198"/>
      <c r="HY13" s="198"/>
      <c r="HZ13" s="198"/>
      <c r="IA13" s="198"/>
      <c r="IB13" s="198"/>
      <c r="IC13" s="198"/>
      <c r="ID13" s="198"/>
    </row>
    <row r="14" spans="1:248" s="185" customFormat="1" ht="17.399999999999999" hidden="1">
      <c r="A14" s="895" t="s">
        <v>297</v>
      </c>
      <c r="B14" s="895"/>
      <c r="C14" s="895"/>
      <c r="D14" s="895"/>
      <c r="E14" s="895"/>
      <c r="F14" s="895"/>
      <c r="G14" s="200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  <c r="BI14" s="184"/>
      <c r="BJ14" s="184"/>
      <c r="BK14" s="184"/>
      <c r="BL14" s="184"/>
      <c r="BM14" s="184"/>
      <c r="BN14" s="184"/>
      <c r="BO14" s="184"/>
      <c r="BP14" s="184"/>
      <c r="BQ14" s="184"/>
      <c r="BR14" s="184"/>
      <c r="BS14" s="184"/>
      <c r="BT14" s="184"/>
      <c r="BU14" s="184"/>
      <c r="BV14" s="184"/>
      <c r="BW14" s="184"/>
      <c r="BX14" s="184"/>
      <c r="BY14" s="184"/>
      <c r="BZ14" s="184"/>
      <c r="CA14" s="184"/>
      <c r="CB14" s="184"/>
      <c r="CC14" s="184"/>
      <c r="CD14" s="184"/>
      <c r="CE14" s="184"/>
      <c r="CF14" s="184"/>
      <c r="CG14" s="184"/>
      <c r="CH14" s="184"/>
      <c r="CI14" s="184"/>
      <c r="CJ14" s="184"/>
      <c r="CK14" s="184"/>
      <c r="CL14" s="184"/>
      <c r="CM14" s="184"/>
      <c r="CN14" s="184"/>
      <c r="CO14" s="184"/>
      <c r="CP14" s="184"/>
      <c r="CQ14" s="184"/>
      <c r="CR14" s="184"/>
      <c r="CS14" s="184"/>
      <c r="CT14" s="184"/>
      <c r="CU14" s="184"/>
      <c r="CV14" s="184"/>
      <c r="CW14" s="184"/>
      <c r="CX14" s="184"/>
      <c r="CY14" s="184"/>
      <c r="CZ14" s="184"/>
      <c r="DA14" s="184"/>
      <c r="DB14" s="184"/>
      <c r="DC14" s="184"/>
      <c r="DD14" s="184"/>
      <c r="DE14" s="184"/>
      <c r="DF14" s="184"/>
      <c r="DG14" s="184"/>
      <c r="DH14" s="184"/>
      <c r="DI14" s="184"/>
      <c r="DJ14" s="184"/>
      <c r="DK14" s="184"/>
      <c r="DL14" s="184"/>
      <c r="DM14" s="184"/>
      <c r="DN14" s="184"/>
      <c r="DO14" s="184"/>
      <c r="DP14" s="184"/>
      <c r="DQ14" s="184"/>
      <c r="DR14" s="184"/>
      <c r="DS14" s="184"/>
      <c r="DT14" s="184"/>
      <c r="DU14" s="184"/>
      <c r="DV14" s="184"/>
      <c r="DW14" s="184"/>
      <c r="DX14" s="184"/>
      <c r="DY14" s="184"/>
      <c r="DZ14" s="184"/>
      <c r="EA14" s="184"/>
      <c r="EB14" s="184"/>
      <c r="EC14" s="184"/>
      <c r="ED14" s="184"/>
      <c r="EE14" s="184"/>
      <c r="EF14" s="184"/>
      <c r="EG14" s="184"/>
      <c r="EH14" s="184"/>
      <c r="EI14" s="184"/>
      <c r="EJ14" s="184"/>
      <c r="EK14" s="184"/>
      <c r="EL14" s="184"/>
      <c r="EM14" s="184"/>
      <c r="EN14" s="184"/>
      <c r="EO14" s="184"/>
      <c r="EP14" s="184"/>
      <c r="EQ14" s="184"/>
      <c r="ER14" s="184"/>
      <c r="ES14" s="184"/>
      <c r="ET14" s="184"/>
      <c r="EU14" s="184"/>
      <c r="EV14" s="184"/>
      <c r="EW14" s="184"/>
      <c r="EX14" s="184"/>
      <c r="EY14" s="184"/>
      <c r="EZ14" s="184"/>
      <c r="FA14" s="184"/>
      <c r="FB14" s="184"/>
      <c r="FC14" s="184"/>
      <c r="FD14" s="184"/>
      <c r="FE14" s="184"/>
      <c r="FF14" s="184"/>
      <c r="FG14" s="184"/>
      <c r="FH14" s="184"/>
      <c r="FI14" s="184"/>
      <c r="FJ14" s="184"/>
      <c r="FK14" s="184"/>
      <c r="FL14" s="184"/>
      <c r="FM14" s="184"/>
      <c r="FN14" s="184"/>
      <c r="FO14" s="184"/>
      <c r="FP14" s="184"/>
      <c r="FQ14" s="184"/>
      <c r="FR14" s="184"/>
      <c r="FS14" s="184"/>
      <c r="FT14" s="184"/>
      <c r="FU14" s="184"/>
      <c r="FV14" s="184"/>
      <c r="FW14" s="184"/>
      <c r="FX14" s="184"/>
      <c r="FY14" s="184"/>
      <c r="FZ14" s="184"/>
      <c r="GA14" s="184"/>
      <c r="GB14" s="184"/>
      <c r="GC14" s="184"/>
      <c r="GD14" s="184"/>
      <c r="GE14" s="184"/>
      <c r="GF14" s="184"/>
      <c r="GG14" s="184"/>
      <c r="GH14" s="184"/>
      <c r="GI14" s="184"/>
      <c r="GJ14" s="184"/>
      <c r="GK14" s="184"/>
      <c r="GL14" s="184"/>
      <c r="GM14" s="184"/>
      <c r="GN14" s="184"/>
      <c r="GO14" s="184"/>
      <c r="GP14" s="184"/>
      <c r="GQ14" s="184"/>
      <c r="GR14" s="184"/>
      <c r="GS14" s="184"/>
      <c r="GT14" s="184"/>
      <c r="GU14" s="184"/>
      <c r="GV14" s="184"/>
      <c r="GW14" s="184"/>
      <c r="GX14" s="184"/>
      <c r="GY14" s="184"/>
      <c r="GZ14" s="184"/>
      <c r="HA14" s="184"/>
      <c r="HB14" s="184"/>
      <c r="HC14" s="184"/>
      <c r="HD14" s="184"/>
      <c r="HE14" s="184"/>
      <c r="HF14" s="184"/>
      <c r="HG14" s="184"/>
      <c r="HH14" s="184"/>
      <c r="HI14" s="184"/>
      <c r="HJ14" s="184"/>
      <c r="HK14" s="184"/>
      <c r="HL14" s="184"/>
      <c r="HM14" s="184"/>
      <c r="HN14" s="184"/>
      <c r="HO14" s="184"/>
      <c r="HP14" s="184"/>
      <c r="HQ14" s="184"/>
      <c r="HR14" s="184"/>
      <c r="HS14" s="184"/>
      <c r="HT14" s="184"/>
      <c r="HU14" s="184"/>
      <c r="HV14" s="184"/>
      <c r="HW14" s="184"/>
      <c r="HX14" s="184"/>
      <c r="HY14" s="184"/>
      <c r="HZ14" s="184"/>
      <c r="IA14" s="184"/>
      <c r="IB14" s="184"/>
      <c r="IC14" s="184"/>
      <c r="ID14" s="184"/>
      <c r="IE14" s="184"/>
      <c r="IF14" s="184"/>
      <c r="IG14" s="184"/>
      <c r="IH14" s="184"/>
      <c r="II14" s="184"/>
      <c r="IJ14" s="184"/>
      <c r="IK14" s="184"/>
      <c r="IL14" s="184"/>
      <c r="IM14" s="184"/>
      <c r="IN14" s="184"/>
    </row>
    <row r="15" spans="1:248" s="185" customFormat="1" ht="36.6" hidden="1" customHeight="1">
      <c r="A15" s="896" t="s">
        <v>329</v>
      </c>
      <c r="B15" s="896"/>
      <c r="C15" s="896"/>
      <c r="D15" s="896"/>
      <c r="E15" s="896"/>
      <c r="F15" s="896"/>
      <c r="G15" s="896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4"/>
      <c r="BJ15" s="184"/>
      <c r="BK15" s="184"/>
      <c r="BL15" s="184"/>
      <c r="BM15" s="184"/>
      <c r="BN15" s="184"/>
      <c r="BO15" s="184"/>
      <c r="BP15" s="184"/>
      <c r="BQ15" s="184"/>
      <c r="BR15" s="184"/>
      <c r="BS15" s="184"/>
      <c r="BT15" s="184"/>
      <c r="BU15" s="184"/>
      <c r="BV15" s="184"/>
      <c r="BW15" s="184"/>
      <c r="BX15" s="184"/>
      <c r="BY15" s="184"/>
      <c r="BZ15" s="184"/>
      <c r="CA15" s="184"/>
      <c r="CB15" s="184"/>
      <c r="CC15" s="184"/>
      <c r="CD15" s="184"/>
      <c r="CE15" s="184"/>
      <c r="CF15" s="184"/>
      <c r="CG15" s="184"/>
      <c r="CH15" s="184"/>
      <c r="CI15" s="184"/>
      <c r="CJ15" s="184"/>
      <c r="CK15" s="184"/>
      <c r="CL15" s="184"/>
      <c r="CM15" s="184"/>
      <c r="CN15" s="184"/>
      <c r="CO15" s="184"/>
      <c r="CP15" s="184"/>
      <c r="CQ15" s="184"/>
      <c r="CR15" s="184"/>
      <c r="CS15" s="184"/>
      <c r="CT15" s="184"/>
      <c r="CU15" s="184"/>
      <c r="CV15" s="184"/>
      <c r="CW15" s="184"/>
      <c r="CX15" s="184"/>
      <c r="CY15" s="184"/>
      <c r="CZ15" s="184"/>
      <c r="DA15" s="184"/>
      <c r="DB15" s="184"/>
      <c r="DC15" s="184"/>
      <c r="DD15" s="184"/>
      <c r="DE15" s="184"/>
      <c r="DF15" s="184"/>
      <c r="DG15" s="184"/>
      <c r="DH15" s="184"/>
      <c r="DI15" s="184"/>
      <c r="DJ15" s="184"/>
      <c r="DK15" s="184"/>
      <c r="DL15" s="184"/>
      <c r="DM15" s="184"/>
      <c r="DN15" s="184"/>
      <c r="DO15" s="184"/>
      <c r="DP15" s="184"/>
      <c r="DQ15" s="184"/>
      <c r="DR15" s="184"/>
      <c r="DS15" s="184"/>
      <c r="DT15" s="184"/>
      <c r="DU15" s="184"/>
      <c r="DV15" s="184"/>
      <c r="DW15" s="184"/>
      <c r="DX15" s="184"/>
      <c r="DY15" s="184"/>
      <c r="DZ15" s="184"/>
      <c r="EA15" s="184"/>
      <c r="EB15" s="184"/>
      <c r="EC15" s="184"/>
      <c r="ED15" s="184"/>
      <c r="EE15" s="184"/>
      <c r="EF15" s="184"/>
      <c r="EG15" s="184"/>
      <c r="EH15" s="184"/>
      <c r="EI15" s="184"/>
      <c r="EJ15" s="184"/>
      <c r="EK15" s="184"/>
      <c r="EL15" s="184"/>
      <c r="EM15" s="184"/>
      <c r="EN15" s="184"/>
      <c r="EO15" s="184"/>
      <c r="EP15" s="184"/>
      <c r="EQ15" s="184"/>
      <c r="ER15" s="184"/>
      <c r="ES15" s="184"/>
      <c r="ET15" s="184"/>
      <c r="EU15" s="184"/>
      <c r="EV15" s="184"/>
      <c r="EW15" s="184"/>
      <c r="EX15" s="184"/>
      <c r="EY15" s="184"/>
      <c r="EZ15" s="184"/>
      <c r="FA15" s="184"/>
      <c r="FB15" s="184"/>
      <c r="FC15" s="184"/>
      <c r="FD15" s="184"/>
      <c r="FE15" s="184"/>
      <c r="FF15" s="184"/>
      <c r="FG15" s="184"/>
      <c r="FH15" s="184"/>
      <c r="FI15" s="184"/>
      <c r="FJ15" s="184"/>
      <c r="FK15" s="184"/>
      <c r="FL15" s="184"/>
      <c r="FM15" s="184"/>
      <c r="FN15" s="184"/>
      <c r="FO15" s="184"/>
      <c r="FP15" s="184"/>
      <c r="FQ15" s="184"/>
      <c r="FR15" s="184"/>
      <c r="FS15" s="184"/>
      <c r="FT15" s="184"/>
      <c r="FU15" s="184"/>
      <c r="FV15" s="184"/>
      <c r="FW15" s="184"/>
      <c r="FX15" s="184"/>
      <c r="FY15" s="184"/>
      <c r="FZ15" s="184"/>
      <c r="GA15" s="184"/>
      <c r="GB15" s="184"/>
      <c r="GC15" s="184"/>
      <c r="GD15" s="184"/>
      <c r="GE15" s="184"/>
      <c r="GF15" s="184"/>
      <c r="GG15" s="184"/>
      <c r="GH15" s="184"/>
      <c r="GI15" s="184"/>
      <c r="GJ15" s="184"/>
      <c r="GK15" s="184"/>
      <c r="GL15" s="184"/>
      <c r="GM15" s="184"/>
      <c r="GN15" s="184"/>
      <c r="GO15" s="184"/>
      <c r="GP15" s="184"/>
      <c r="GQ15" s="184"/>
      <c r="GR15" s="184"/>
      <c r="GS15" s="184"/>
      <c r="GT15" s="184"/>
      <c r="GU15" s="184"/>
      <c r="GV15" s="184"/>
      <c r="GW15" s="184"/>
      <c r="GX15" s="184"/>
      <c r="GY15" s="184"/>
      <c r="GZ15" s="184"/>
      <c r="HA15" s="184"/>
      <c r="HB15" s="184"/>
      <c r="HC15" s="184"/>
      <c r="HD15" s="184"/>
      <c r="HE15" s="184"/>
      <c r="HF15" s="184"/>
      <c r="HG15" s="184"/>
      <c r="HH15" s="184"/>
      <c r="HI15" s="184"/>
      <c r="HJ15" s="184"/>
      <c r="HK15" s="184"/>
      <c r="HL15" s="184"/>
      <c r="HM15" s="184"/>
      <c r="HN15" s="184"/>
      <c r="HO15" s="184"/>
      <c r="HP15" s="184"/>
      <c r="HQ15" s="184"/>
      <c r="HR15" s="184"/>
      <c r="HS15" s="184"/>
      <c r="HT15" s="184"/>
      <c r="HU15" s="184"/>
      <c r="HV15" s="184"/>
      <c r="HW15" s="184"/>
      <c r="HX15" s="184"/>
      <c r="HY15" s="184"/>
      <c r="HZ15" s="184"/>
      <c r="IA15" s="184"/>
      <c r="IB15" s="184"/>
      <c r="IC15" s="184"/>
      <c r="ID15" s="184"/>
      <c r="IE15" s="184"/>
      <c r="IF15" s="184"/>
      <c r="IG15" s="184"/>
      <c r="IH15" s="184"/>
      <c r="II15" s="184"/>
      <c r="IJ15" s="184"/>
      <c r="IK15" s="184"/>
      <c r="IL15" s="184"/>
      <c r="IM15" s="184"/>
      <c r="IN15" s="184"/>
    </row>
  </sheetData>
  <mergeCells count="12">
    <mergeCell ref="A1:G1"/>
    <mergeCell ref="A14:F14"/>
    <mergeCell ref="A15:G15"/>
    <mergeCell ref="A12:G12"/>
    <mergeCell ref="A4:A7"/>
    <mergeCell ref="E2:G2"/>
    <mergeCell ref="B6:E6"/>
    <mergeCell ref="A8:E8"/>
    <mergeCell ref="C2:C3"/>
    <mergeCell ref="A2:A3"/>
    <mergeCell ref="B2:B3"/>
    <mergeCell ref="D2:D3"/>
  </mergeCells>
  <printOptions horizontalCentered="1" verticalCentered="1"/>
  <pageMargins left="0.25" right="0.25" top="0.75" bottom="0.75" header="0.3" footer="0.3"/>
  <pageSetup paperSize="9" scale="74" firstPageNumber="0" fitToHeight="0" orientation="landscape" r:id="rId1"/>
  <ignoredErrors>
    <ignoredError sqref="F6:G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P46"/>
  <sheetViews>
    <sheetView showGridLines="0" zoomScale="110" zoomScaleNormal="110" zoomScaleSheetLayoutView="85" workbookViewId="0">
      <pane ySplit="2" topLeftCell="A24" activePane="bottomLeft" state="frozen"/>
      <selection pane="bottomLeft" activeCell="L22" sqref="L22"/>
    </sheetView>
  </sheetViews>
  <sheetFormatPr defaultColWidth="8.88671875" defaultRowHeight="14.4"/>
  <cols>
    <col min="1" max="1" width="7.44140625" style="388" customWidth="1"/>
    <col min="2" max="2" width="7.109375" style="380" customWidth="1"/>
    <col min="3" max="3" width="27.44140625" style="380" customWidth="1"/>
    <col min="4" max="4" width="8.77734375" style="380" customWidth="1"/>
    <col min="5" max="5" width="9.109375" style="380" customWidth="1"/>
    <col min="6" max="6" width="10.21875" style="380" customWidth="1"/>
    <col min="7" max="7" width="10.33203125" style="380" customWidth="1"/>
    <col min="8" max="8" width="9.33203125" style="380" customWidth="1"/>
    <col min="9" max="9" width="10.6640625" style="380" customWidth="1"/>
    <col min="10" max="10" width="11.5546875" customWidth="1"/>
    <col min="11" max="250" width="9.109375" style="380" customWidth="1"/>
    <col min="251" max="1018" width="9.109375" style="381" customWidth="1"/>
    <col min="1019" max="16384" width="8.88671875" style="381"/>
  </cols>
  <sheetData>
    <row r="1" spans="1:10" ht="27" customHeight="1">
      <c r="A1" s="912" t="s">
        <v>600</v>
      </c>
      <c r="B1" s="913"/>
      <c r="C1" s="913"/>
      <c r="D1" s="913"/>
      <c r="E1" s="913"/>
      <c r="F1" s="913"/>
      <c r="G1" s="913"/>
      <c r="H1" s="913"/>
      <c r="I1" s="913"/>
    </row>
    <row r="2" spans="1:10" ht="22.8" customHeight="1">
      <c r="A2" s="932" t="s">
        <v>1</v>
      </c>
      <c r="B2" s="933"/>
      <c r="C2" s="933"/>
      <c r="D2" s="933"/>
      <c r="E2" s="933"/>
      <c r="F2" s="934"/>
      <c r="G2" s="935" t="s">
        <v>580</v>
      </c>
      <c r="H2" s="936"/>
      <c r="I2" s="936"/>
    </row>
    <row r="3" spans="1:10" ht="40.200000000000003" customHeight="1">
      <c r="A3" s="382" t="s">
        <v>11</v>
      </c>
      <c r="B3" s="383" t="s">
        <v>12</v>
      </c>
      <c r="C3" s="761" t="s">
        <v>567</v>
      </c>
      <c r="D3" s="384" t="s">
        <v>13</v>
      </c>
      <c r="E3" s="384" t="s">
        <v>14</v>
      </c>
      <c r="F3" s="468" t="s">
        <v>362</v>
      </c>
      <c r="G3" s="470" t="s">
        <v>465</v>
      </c>
      <c r="H3" s="470" t="s">
        <v>17</v>
      </c>
      <c r="I3" s="633" t="s">
        <v>364</v>
      </c>
    </row>
    <row r="4" spans="1:10" ht="14.4" customHeight="1">
      <c r="A4" s="937" t="s">
        <v>18</v>
      </c>
      <c r="B4" s="914" t="s">
        <v>19</v>
      </c>
      <c r="C4" s="758" t="s">
        <v>20</v>
      </c>
      <c r="D4" s="272">
        <f>'Servente c VT PVH'!D117</f>
        <v>2915.03</v>
      </c>
      <c r="E4" s="682">
        <v>800</v>
      </c>
      <c r="F4" s="469">
        <f>1/E4</f>
        <v>1.25E-3</v>
      </c>
      <c r="G4" s="471">
        <f>'Servente c VT PVH'!I113</f>
        <v>3385.62</v>
      </c>
      <c r="H4" s="471">
        <f>ROUND(F4*G4,2)</f>
        <v>4.2300000000000004</v>
      </c>
      <c r="I4" s="634">
        <f>ROUND(D4*H4,2)</f>
        <v>12330.58</v>
      </c>
      <c r="J4" s="492"/>
    </row>
    <row r="5" spans="1:10" ht="14.4" customHeight="1">
      <c r="A5" s="938"/>
      <c r="B5" s="915"/>
      <c r="C5" s="758" t="s">
        <v>388</v>
      </c>
      <c r="D5" s="272">
        <f>'Servente c VT PVH'!D118</f>
        <v>18.3</v>
      </c>
      <c r="E5" s="682">
        <v>200</v>
      </c>
      <c r="F5" s="469">
        <f t="shared" ref="F5" si="0">1/E5</f>
        <v>5.0000000000000001E-3</v>
      </c>
      <c r="G5" s="471">
        <f>'Servente c VT PVH'!I113</f>
        <v>3385.62</v>
      </c>
      <c r="H5" s="471">
        <f>ROUND(F5*G5,2)</f>
        <v>16.93</v>
      </c>
      <c r="I5" s="634">
        <f t="shared" ref="I5:I14" si="1">ROUND(D5*H5,2)</f>
        <v>309.82</v>
      </c>
    </row>
    <row r="6" spans="1:10" ht="14.4" customHeight="1">
      <c r="A6" s="938"/>
      <c r="B6" s="915"/>
      <c r="C6" s="759" t="s">
        <v>336</v>
      </c>
      <c r="D6" s="680">
        <f>'Servente c VT PVH'!D119</f>
        <v>117.78</v>
      </c>
      <c r="E6" s="683">
        <v>200</v>
      </c>
      <c r="F6" s="681">
        <f t="shared" ref="F6:F13" si="2">1/E6</f>
        <v>5.0000000000000001E-3</v>
      </c>
      <c r="G6" s="472">
        <f>'Servente c VT PVH'!J113</f>
        <v>3475.49</v>
      </c>
      <c r="H6" s="471">
        <f t="shared" ref="H6:H9" si="3">ROUND(F6*G6,2)</f>
        <v>17.38</v>
      </c>
      <c r="I6" s="634">
        <f t="shared" si="1"/>
        <v>2047.02</v>
      </c>
    </row>
    <row r="7" spans="1:10" ht="14.4" customHeight="1">
      <c r="A7" s="938"/>
      <c r="B7" s="915"/>
      <c r="C7" s="758" t="s">
        <v>337</v>
      </c>
      <c r="D7" s="272">
        <f>'Servente c VT PVH'!D120</f>
        <v>212.21</v>
      </c>
      <c r="E7" s="682">
        <v>360</v>
      </c>
      <c r="F7" s="469">
        <f t="shared" si="2"/>
        <v>2.7777777777777779E-3</v>
      </c>
      <c r="G7" s="471">
        <f>'Servente c VT PVH'!I113</f>
        <v>3385.62</v>
      </c>
      <c r="H7" s="471">
        <f t="shared" si="3"/>
        <v>9.4</v>
      </c>
      <c r="I7" s="634">
        <f t="shared" si="1"/>
        <v>1994.77</v>
      </c>
    </row>
    <row r="8" spans="1:10" ht="22.2" customHeight="1">
      <c r="A8" s="938"/>
      <c r="B8" s="915"/>
      <c r="C8" s="758" t="s">
        <v>389</v>
      </c>
      <c r="D8" s="273">
        <f>'Servente c VT PVH'!D121</f>
        <v>149.32</v>
      </c>
      <c r="E8" s="682">
        <v>1000</v>
      </c>
      <c r="F8" s="469">
        <f>1/E8</f>
        <v>1E-3</v>
      </c>
      <c r="G8" s="471">
        <f>'Servente c VT PVH'!I113</f>
        <v>3385.62</v>
      </c>
      <c r="H8" s="471">
        <f>ROUND(F8*G8,2)</f>
        <v>3.39</v>
      </c>
      <c r="I8" s="634">
        <f>ROUND(D8*H8,2)</f>
        <v>506.19</v>
      </c>
    </row>
    <row r="9" spans="1:10" ht="14.4" customHeight="1">
      <c r="A9" s="938"/>
      <c r="B9" s="916"/>
      <c r="C9" s="758" t="s">
        <v>390</v>
      </c>
      <c r="D9" s="272">
        <f>'Servente c VT PVH'!D122</f>
        <v>50.75</v>
      </c>
      <c r="E9" s="682">
        <v>1500</v>
      </c>
      <c r="F9" s="469">
        <f t="shared" si="2"/>
        <v>6.6666666666666664E-4</v>
      </c>
      <c r="G9" s="471">
        <f>'Servente c VT PVH'!I113</f>
        <v>3385.62</v>
      </c>
      <c r="H9" s="471">
        <f t="shared" si="3"/>
        <v>2.2599999999999998</v>
      </c>
      <c r="I9" s="634">
        <f t="shared" si="1"/>
        <v>114.7</v>
      </c>
    </row>
    <row r="10" spans="1:10" ht="24" customHeight="1">
      <c r="A10" s="938"/>
      <c r="B10" s="914" t="s">
        <v>22</v>
      </c>
      <c r="C10" s="760" t="s">
        <v>23</v>
      </c>
      <c r="D10" s="273">
        <f>'Servente c VT PVH'!D123</f>
        <v>4857.45</v>
      </c>
      <c r="E10" s="682">
        <v>1800</v>
      </c>
      <c r="F10" s="469">
        <f t="shared" si="2"/>
        <v>5.5555555555555556E-4</v>
      </c>
      <c r="G10" s="471">
        <f>'Servente c VT PVH'!I113</f>
        <v>3385.62</v>
      </c>
      <c r="H10" s="471">
        <f>ROUND(F10*G10,2)</f>
        <v>1.88</v>
      </c>
      <c r="I10" s="634">
        <f t="shared" si="1"/>
        <v>9132.01</v>
      </c>
    </row>
    <row r="11" spans="1:10" ht="23.4" customHeight="1">
      <c r="A11" s="938"/>
      <c r="B11" s="915"/>
      <c r="C11" s="760" t="s">
        <v>24</v>
      </c>
      <c r="D11" s="273">
        <f>'Servente c VT PVH'!D124</f>
        <v>1260</v>
      </c>
      <c r="E11" s="682">
        <v>2700</v>
      </c>
      <c r="F11" s="469">
        <f t="shared" si="2"/>
        <v>3.7037037037037035E-4</v>
      </c>
      <c r="G11" s="471">
        <f>'Servente c VT PVH'!I113</f>
        <v>3385.62</v>
      </c>
      <c r="H11" s="471">
        <f>ROUND(F11*G11,2)</f>
        <v>1.25</v>
      </c>
      <c r="I11" s="634">
        <f t="shared" si="1"/>
        <v>1575</v>
      </c>
    </row>
    <row r="12" spans="1:10" ht="22.2" customHeight="1">
      <c r="A12" s="938"/>
      <c r="B12" s="915"/>
      <c r="C12" s="760" t="s">
        <v>25</v>
      </c>
      <c r="D12" s="273">
        <f>'Servente c VT PVH'!D125</f>
        <v>14581.2</v>
      </c>
      <c r="E12" s="684">
        <v>6000</v>
      </c>
      <c r="F12" s="469">
        <f t="shared" si="2"/>
        <v>1.6666666666666666E-4</v>
      </c>
      <c r="G12" s="471">
        <f>'Servente c VT PVH'!I113</f>
        <v>3385.62</v>
      </c>
      <c r="H12" s="471">
        <f>ROUND(F12*G12,2)</f>
        <v>0.56000000000000005</v>
      </c>
      <c r="I12" s="634">
        <f t="shared" si="1"/>
        <v>8165.47</v>
      </c>
    </row>
    <row r="13" spans="1:10" ht="33" customHeight="1">
      <c r="A13" s="938"/>
      <c r="B13" s="916"/>
      <c r="C13" s="760" t="s">
        <v>26</v>
      </c>
      <c r="D13" s="274">
        <f>'Servente c VT PVH'!D126</f>
        <v>456.08</v>
      </c>
      <c r="E13" s="684">
        <v>100000</v>
      </c>
      <c r="F13" s="469">
        <f t="shared" si="2"/>
        <v>1.0000000000000001E-5</v>
      </c>
      <c r="G13" s="471">
        <f>'Servente c VT PVH'!I113</f>
        <v>3385.62</v>
      </c>
      <c r="H13" s="471">
        <f t="shared" ref="H13:H14" si="4">ROUND(F13*G13,2)</f>
        <v>0.03</v>
      </c>
      <c r="I13" s="634">
        <f t="shared" si="1"/>
        <v>13.68</v>
      </c>
    </row>
    <row r="14" spans="1:10" ht="14.4" customHeight="1">
      <c r="A14" s="938"/>
      <c r="B14" s="385" t="s">
        <v>27</v>
      </c>
      <c r="C14" s="760" t="s">
        <v>225</v>
      </c>
      <c r="D14" s="274">
        <f>'Servente c VT PVH'!D127</f>
        <v>965.92</v>
      </c>
      <c r="E14" s="684">
        <v>300</v>
      </c>
      <c r="F14" s="469">
        <f>(1/300)*16*(1/188.76)</f>
        <v>2.8254573709119167E-4</v>
      </c>
      <c r="G14" s="471">
        <f>'Servente c VT PVH'!I113</f>
        <v>3385.62</v>
      </c>
      <c r="H14" s="471">
        <f t="shared" si="4"/>
        <v>0.96</v>
      </c>
      <c r="I14" s="634">
        <f t="shared" si="1"/>
        <v>927.28</v>
      </c>
    </row>
    <row r="15" spans="1:10" ht="24.6" customHeight="1">
      <c r="A15" s="938"/>
      <c r="C15" s="642"/>
      <c r="D15" s="686">
        <f>SUM(D4:D14)</f>
        <v>25584.04</v>
      </c>
      <c r="E15" s="943" t="s">
        <v>214</v>
      </c>
      <c r="F15" s="943"/>
      <c r="G15" s="943"/>
      <c r="H15" s="944"/>
      <c r="I15" s="635">
        <f>TRUNC(SUM(I4:I14),2)</f>
        <v>37116.519999999997</v>
      </c>
    </row>
    <row r="16" spans="1:10" ht="36.6" customHeight="1">
      <c r="A16" s="938"/>
      <c r="B16" s="383" t="s">
        <v>12</v>
      </c>
      <c r="C16" s="761" t="s">
        <v>386</v>
      </c>
      <c r="D16" s="384" t="s">
        <v>13</v>
      </c>
      <c r="E16" s="384" t="s">
        <v>14</v>
      </c>
      <c r="F16" s="468" t="s">
        <v>15</v>
      </c>
      <c r="G16" s="470" t="s">
        <v>363</v>
      </c>
      <c r="H16" s="470" t="s">
        <v>17</v>
      </c>
      <c r="I16" s="633" t="s">
        <v>364</v>
      </c>
    </row>
    <row r="17" spans="1:9" ht="14.4" customHeight="1">
      <c r="A17" s="938"/>
      <c r="B17" s="914" t="s">
        <v>19</v>
      </c>
      <c r="C17" s="758" t="s">
        <v>20</v>
      </c>
      <c r="D17" s="272">
        <f>'Servente c VT JPN'!D117</f>
        <v>892.43999999999994</v>
      </c>
      <c r="E17" s="682">
        <v>800</v>
      </c>
      <c r="F17" s="469">
        <f>1/E17</f>
        <v>1.25E-3</v>
      </c>
      <c r="G17" s="471">
        <f>'Servente c VT JPN'!I113</f>
        <v>3352.02</v>
      </c>
      <c r="H17" s="471">
        <f>ROUND(F17*G17,2)</f>
        <v>4.1900000000000004</v>
      </c>
      <c r="I17" s="634">
        <f>ROUND(H17*D17,2)</f>
        <v>3739.32</v>
      </c>
    </row>
    <row r="18" spans="1:9" ht="18" customHeight="1">
      <c r="A18" s="938"/>
      <c r="B18" s="915"/>
      <c r="C18" s="759" t="s">
        <v>220</v>
      </c>
      <c r="D18" s="680">
        <f>'Servente c VT JPN'!D118</f>
        <v>43.71</v>
      </c>
      <c r="E18" s="683">
        <v>200</v>
      </c>
      <c r="F18" s="681">
        <f t="shared" ref="F18:F22" si="5">1/E18</f>
        <v>5.0000000000000001E-3</v>
      </c>
      <c r="G18" s="472">
        <f>'Servente c VT JPN'!J113</f>
        <v>3441.89</v>
      </c>
      <c r="H18" s="471">
        <f t="shared" ref="H18:H23" si="6">ROUND(F18*G18,2)</f>
        <v>17.21</v>
      </c>
      <c r="I18" s="634">
        <f t="shared" ref="I18:I23" si="7">ROUND(H18*D18,2)</f>
        <v>752.25</v>
      </c>
    </row>
    <row r="19" spans="1:9" ht="22.8" customHeight="1">
      <c r="A19" s="938"/>
      <c r="B19" s="915"/>
      <c r="C19" s="758" t="s">
        <v>391</v>
      </c>
      <c r="D19" s="273">
        <f>'Servente c VT JPN'!D119</f>
        <v>50.6</v>
      </c>
      <c r="E19" s="682">
        <v>1000</v>
      </c>
      <c r="F19" s="469">
        <f>1/E19</f>
        <v>1E-3</v>
      </c>
      <c r="G19" s="471">
        <f>'Servente c VT JPN'!I113</f>
        <v>3352.02</v>
      </c>
      <c r="H19" s="471">
        <f>ROUND(F19*G19,2)</f>
        <v>3.35</v>
      </c>
      <c r="I19" s="634">
        <f>ROUND(H19*D19,2)</f>
        <v>169.51</v>
      </c>
    </row>
    <row r="20" spans="1:9" ht="14.4" customHeight="1">
      <c r="A20" s="938"/>
      <c r="B20" s="916"/>
      <c r="C20" s="758" t="s">
        <v>21</v>
      </c>
      <c r="D20" s="272">
        <f>'Servente c VT JPN'!D120</f>
        <v>60</v>
      </c>
      <c r="E20" s="682">
        <v>1500</v>
      </c>
      <c r="F20" s="469">
        <f t="shared" si="5"/>
        <v>6.6666666666666664E-4</v>
      </c>
      <c r="G20" s="471">
        <f>'Servente c VT JPN'!I113</f>
        <v>3352.02</v>
      </c>
      <c r="H20" s="471">
        <f t="shared" si="6"/>
        <v>2.23</v>
      </c>
      <c r="I20" s="634">
        <f t="shared" si="7"/>
        <v>133.80000000000001</v>
      </c>
    </row>
    <row r="21" spans="1:9" ht="27" customHeight="1">
      <c r="A21" s="938"/>
      <c r="B21" s="914" t="s">
        <v>22</v>
      </c>
      <c r="C21" s="758" t="s">
        <v>23</v>
      </c>
      <c r="D21" s="273">
        <f>'Servente c VT JPN'!D121</f>
        <v>1967.4</v>
      </c>
      <c r="E21" s="682">
        <v>1800</v>
      </c>
      <c r="F21" s="469">
        <f t="shared" si="5"/>
        <v>5.5555555555555556E-4</v>
      </c>
      <c r="G21" s="471">
        <f>'Servente c VT JPN'!I113</f>
        <v>3352.02</v>
      </c>
      <c r="H21" s="471">
        <f t="shared" si="6"/>
        <v>1.86</v>
      </c>
      <c r="I21" s="634">
        <f t="shared" si="7"/>
        <v>3659.36</v>
      </c>
    </row>
    <row r="22" spans="1:9" ht="22.2" customHeight="1">
      <c r="A22" s="938"/>
      <c r="B22" s="916"/>
      <c r="C22" s="758" t="s">
        <v>24</v>
      </c>
      <c r="D22" s="273">
        <f>'Servente c VT JPN'!D122</f>
        <v>1915.55</v>
      </c>
      <c r="E22" s="682">
        <v>2700</v>
      </c>
      <c r="F22" s="469">
        <f t="shared" si="5"/>
        <v>3.7037037037037035E-4</v>
      </c>
      <c r="G22" s="471">
        <f>'Servente c VT JPN'!I113</f>
        <v>3352.02</v>
      </c>
      <c r="H22" s="471">
        <f t="shared" si="6"/>
        <v>1.24</v>
      </c>
      <c r="I22" s="634">
        <f t="shared" si="7"/>
        <v>2375.2800000000002</v>
      </c>
    </row>
    <row r="23" spans="1:9" ht="14.4" customHeight="1">
      <c r="A23" s="938"/>
      <c r="B23" s="385" t="s">
        <v>27</v>
      </c>
      <c r="C23" s="758" t="s">
        <v>225</v>
      </c>
      <c r="D23" s="691">
        <f>'Servente c VT JPN'!D123</f>
        <v>290.88</v>
      </c>
      <c r="E23" s="684">
        <v>300</v>
      </c>
      <c r="F23" s="469">
        <f>(1/300)*16*(1/188.76)</f>
        <v>2.8254573709119167E-4</v>
      </c>
      <c r="G23" s="471">
        <f>'Servente c VT JPN'!I113</f>
        <v>3352.02</v>
      </c>
      <c r="H23" s="471">
        <f t="shared" si="6"/>
        <v>0.95</v>
      </c>
      <c r="I23" s="634">
        <f t="shared" si="7"/>
        <v>276.33999999999997</v>
      </c>
    </row>
    <row r="24" spans="1:9" ht="20.100000000000001" customHeight="1">
      <c r="A24" s="939"/>
      <c r="C24" s="690"/>
      <c r="D24" s="692">
        <f>SUM(D17:D23)</f>
        <v>5220.58</v>
      </c>
      <c r="E24" s="945" t="s">
        <v>226</v>
      </c>
      <c r="F24" s="945"/>
      <c r="G24" s="945"/>
      <c r="H24" s="946"/>
      <c r="I24" s="636">
        <f>TRUNC(SUM(I17:I23),2)</f>
        <v>11105.86</v>
      </c>
    </row>
    <row r="25" spans="1:9" ht="27.6" customHeight="1">
      <c r="A25" s="940" t="s">
        <v>366</v>
      </c>
      <c r="B25" s="941"/>
      <c r="C25" s="941"/>
      <c r="D25" s="941"/>
      <c r="E25" s="941"/>
      <c r="F25" s="941"/>
      <c r="G25" s="941"/>
      <c r="H25" s="942"/>
      <c r="I25" s="637">
        <f>I15+I24</f>
        <v>48222.38</v>
      </c>
    </row>
    <row r="26" spans="1:9" ht="36" customHeight="1">
      <c r="A26" s="928" t="s">
        <v>28</v>
      </c>
      <c r="B26" s="384" t="s">
        <v>12</v>
      </c>
      <c r="C26" s="761" t="s">
        <v>577</v>
      </c>
      <c r="D26" s="384" t="s">
        <v>13</v>
      </c>
      <c r="E26" s="384" t="s">
        <v>14</v>
      </c>
      <c r="F26" s="468" t="s">
        <v>15</v>
      </c>
      <c r="G26" s="470" t="s">
        <v>16</v>
      </c>
      <c r="H26" s="470" t="s">
        <v>17</v>
      </c>
      <c r="I26" s="633" t="s">
        <v>216</v>
      </c>
    </row>
    <row r="27" spans="1:9" ht="14.4" customHeight="1">
      <c r="A27" s="929"/>
      <c r="B27" s="925" t="s">
        <v>19</v>
      </c>
      <c r="C27" s="758" t="s">
        <v>20</v>
      </c>
      <c r="D27" s="272">
        <f>'Servente Sem VT'!D117</f>
        <v>1433.72</v>
      </c>
      <c r="E27" s="682">
        <v>800</v>
      </c>
      <c r="F27" s="473">
        <f>1/E27</f>
        <v>1.25E-3</v>
      </c>
      <c r="G27" s="471">
        <f>'Servente Sem VT'!I113</f>
        <v>3381.68</v>
      </c>
      <c r="H27" s="471">
        <f>ROUND(F27*G27,2)</f>
        <v>4.2300000000000004</v>
      </c>
      <c r="I27" s="634">
        <f>ROUND(D27*H27,2)</f>
        <v>6064.64</v>
      </c>
    </row>
    <row r="28" spans="1:9" ht="14.4" customHeight="1">
      <c r="A28" s="929"/>
      <c r="B28" s="926"/>
      <c r="C28" s="758" t="s">
        <v>367</v>
      </c>
      <c r="D28" s="272">
        <f>'Servente Sem VT'!D118</f>
        <v>6.07</v>
      </c>
      <c r="E28" s="682">
        <v>200</v>
      </c>
      <c r="F28" s="473">
        <f>1/E28</f>
        <v>5.0000000000000001E-3</v>
      </c>
      <c r="G28" s="471">
        <f>'Servente Sem VT'!I113</f>
        <v>3381.68</v>
      </c>
      <c r="H28" s="471">
        <f t="shared" ref="H28:H36" si="8">ROUND(F28*G28,2)</f>
        <v>16.91</v>
      </c>
      <c r="I28" s="634">
        <f t="shared" ref="I28:I36" si="9">ROUND(D28*H28,2)</f>
        <v>102.64</v>
      </c>
    </row>
    <row r="29" spans="1:9" ht="14.4" customHeight="1">
      <c r="A29" s="929"/>
      <c r="B29" s="926"/>
      <c r="C29" s="759" t="s">
        <v>368</v>
      </c>
      <c r="D29" s="680">
        <f>'Servente Sem VT'!D119</f>
        <v>80.95</v>
      </c>
      <c r="E29" s="683">
        <v>200</v>
      </c>
      <c r="F29" s="685">
        <f t="shared" ref="F29:F35" si="10">1/E29</f>
        <v>5.0000000000000001E-3</v>
      </c>
      <c r="G29" s="472">
        <f>'Servente Sem VT'!J113</f>
        <v>3471.54</v>
      </c>
      <c r="H29" s="471">
        <f t="shared" si="8"/>
        <v>17.36</v>
      </c>
      <c r="I29" s="634">
        <f t="shared" si="9"/>
        <v>1405.29</v>
      </c>
    </row>
    <row r="30" spans="1:9" ht="14.4" customHeight="1">
      <c r="A30" s="929"/>
      <c r="B30" s="926"/>
      <c r="C30" s="758" t="s">
        <v>29</v>
      </c>
      <c r="D30" s="272">
        <f>'Servente Sem VT'!D120</f>
        <v>175.46</v>
      </c>
      <c r="E30" s="682">
        <v>1000</v>
      </c>
      <c r="F30" s="473">
        <f>1/E30</f>
        <v>1E-3</v>
      </c>
      <c r="G30" s="471">
        <f>'Servente Sem VT'!I113</f>
        <v>3381.68</v>
      </c>
      <c r="H30" s="471">
        <f>ROUND(F30*G30,2)</f>
        <v>3.38</v>
      </c>
      <c r="I30" s="634">
        <f>ROUND(D30*H30,2)</f>
        <v>593.04999999999995</v>
      </c>
    </row>
    <row r="31" spans="1:9" ht="14.4" customHeight="1">
      <c r="A31" s="929"/>
      <c r="B31" s="927"/>
      <c r="C31" s="758" t="s">
        <v>365</v>
      </c>
      <c r="D31" s="272">
        <f>'Servente Sem VT'!D121</f>
        <v>648.27</v>
      </c>
      <c r="E31" s="682">
        <v>1500</v>
      </c>
      <c r="F31" s="473">
        <f t="shared" si="10"/>
        <v>6.6666666666666664E-4</v>
      </c>
      <c r="G31" s="471">
        <f>'Servente Sem VT'!I113</f>
        <v>3381.68</v>
      </c>
      <c r="H31" s="471">
        <f t="shared" si="8"/>
        <v>2.25</v>
      </c>
      <c r="I31" s="634">
        <f t="shared" si="9"/>
        <v>1458.61</v>
      </c>
    </row>
    <row r="32" spans="1:9" ht="24" customHeight="1">
      <c r="A32" s="929"/>
      <c r="B32" s="925" t="s">
        <v>22</v>
      </c>
      <c r="C32" s="758" t="s">
        <v>23</v>
      </c>
      <c r="D32" s="273">
        <f>'Servente Sem VT'!D122</f>
        <v>2165.63</v>
      </c>
      <c r="E32" s="682">
        <v>1800</v>
      </c>
      <c r="F32" s="473">
        <f t="shared" si="10"/>
        <v>5.5555555555555556E-4</v>
      </c>
      <c r="G32" s="471">
        <f>'Servente Sem VT'!I113</f>
        <v>3381.68</v>
      </c>
      <c r="H32" s="471">
        <f t="shared" si="8"/>
        <v>1.88</v>
      </c>
      <c r="I32" s="634">
        <f t="shared" si="9"/>
        <v>4071.38</v>
      </c>
    </row>
    <row r="33" spans="1:9" ht="21" customHeight="1">
      <c r="A33" s="929"/>
      <c r="B33" s="926"/>
      <c r="C33" s="758" t="s">
        <v>24</v>
      </c>
      <c r="D33" s="273">
        <f>'Servente Sem VT'!D123</f>
        <v>2833.6</v>
      </c>
      <c r="E33" s="682">
        <v>2700</v>
      </c>
      <c r="F33" s="473">
        <f t="shared" si="10"/>
        <v>3.7037037037037035E-4</v>
      </c>
      <c r="G33" s="471">
        <f>'Servente Sem VT'!I113</f>
        <v>3381.68</v>
      </c>
      <c r="H33" s="471">
        <f t="shared" si="8"/>
        <v>1.25</v>
      </c>
      <c r="I33" s="634">
        <f t="shared" si="9"/>
        <v>3542</v>
      </c>
    </row>
    <row r="34" spans="1:9" ht="14.4" customHeight="1">
      <c r="A34" s="929"/>
      <c r="B34" s="926"/>
      <c r="C34" s="758" t="s">
        <v>25</v>
      </c>
      <c r="D34" s="273">
        <f>'Servente Sem VT'!D124</f>
        <v>546</v>
      </c>
      <c r="E34" s="684">
        <v>6000</v>
      </c>
      <c r="F34" s="473">
        <f t="shared" si="10"/>
        <v>1.6666666666666666E-4</v>
      </c>
      <c r="G34" s="471">
        <f>'Servente Sem VT'!I113</f>
        <v>3381.68</v>
      </c>
      <c r="H34" s="471">
        <f t="shared" si="8"/>
        <v>0.56000000000000005</v>
      </c>
      <c r="I34" s="634">
        <f t="shared" si="9"/>
        <v>305.76</v>
      </c>
    </row>
    <row r="35" spans="1:9" ht="24.6" customHeight="1">
      <c r="A35" s="929"/>
      <c r="B35" s="927"/>
      <c r="C35" s="758" t="s">
        <v>26</v>
      </c>
      <c r="D35" s="273">
        <f>'Servente Sem VT'!D125</f>
        <v>1047.3</v>
      </c>
      <c r="E35" s="684">
        <v>100000</v>
      </c>
      <c r="F35" s="473">
        <f t="shared" si="10"/>
        <v>1.0000000000000001E-5</v>
      </c>
      <c r="G35" s="471">
        <f>'Servente Sem VT'!I113</f>
        <v>3381.68</v>
      </c>
      <c r="H35" s="471">
        <f t="shared" si="8"/>
        <v>0.03</v>
      </c>
      <c r="I35" s="634">
        <f t="shared" si="9"/>
        <v>31.42</v>
      </c>
    </row>
    <row r="36" spans="1:9" ht="14.4" customHeight="1">
      <c r="A36" s="930"/>
      <c r="B36" s="643" t="s">
        <v>27</v>
      </c>
      <c r="C36" s="758" t="s">
        <v>225</v>
      </c>
      <c r="D36" s="274">
        <f>'Servente Sem VT'!D126</f>
        <v>461.78000000000003</v>
      </c>
      <c r="E36" s="684">
        <v>300</v>
      </c>
      <c r="F36" s="473">
        <f>(1/300)*16*(1/188.76)</f>
        <v>2.8254573709119167E-4</v>
      </c>
      <c r="G36" s="471">
        <f>'Servente Sem VT'!I113</f>
        <v>3381.68</v>
      </c>
      <c r="H36" s="471">
        <f t="shared" si="8"/>
        <v>0.96</v>
      </c>
      <c r="I36" s="634">
        <f t="shared" si="9"/>
        <v>443.31</v>
      </c>
    </row>
    <row r="37" spans="1:9" ht="19.95" customHeight="1">
      <c r="A37" s="697"/>
      <c r="B37" s="698"/>
      <c r="C37" s="698"/>
      <c r="D37" s="699">
        <f>SUM(D27:D36)</f>
        <v>9398.7800000000007</v>
      </c>
      <c r="E37" s="917" t="s">
        <v>581</v>
      </c>
      <c r="F37" s="917"/>
      <c r="G37" s="917"/>
      <c r="H37" s="918"/>
      <c r="I37" s="638">
        <f>TRUNC(SUM(I27:I36),2)</f>
        <v>18018.099999999999</v>
      </c>
    </row>
    <row r="38" spans="1:9" ht="19.95" customHeight="1">
      <c r="A38" s="922" t="s">
        <v>380</v>
      </c>
      <c r="B38" s="923"/>
      <c r="C38" s="923"/>
      <c r="D38" s="923"/>
      <c r="E38" s="923"/>
      <c r="F38" s="923"/>
      <c r="G38" s="923"/>
      <c r="H38" s="924"/>
      <c r="I38" s="639">
        <f>I25+I37</f>
        <v>66240.479999999996</v>
      </c>
    </row>
    <row r="39" spans="1:9" ht="19.95" customHeight="1">
      <c r="A39" s="922" t="s">
        <v>611</v>
      </c>
      <c r="B39" s="923"/>
      <c r="C39" s="923"/>
      <c r="D39" s="923"/>
      <c r="E39" s="923"/>
      <c r="F39" s="923"/>
      <c r="G39" s="923"/>
      <c r="H39" s="924"/>
      <c r="I39" s="640">
        <f>20*I38</f>
        <v>1324809.5999999999</v>
      </c>
    </row>
    <row r="40" spans="1:9">
      <c r="A40" s="921" t="s">
        <v>30</v>
      </c>
      <c r="B40" s="921"/>
      <c r="C40" s="921"/>
      <c r="D40" s="386"/>
      <c r="E40" s="386"/>
      <c r="F40" s="386"/>
      <c r="G40" s="386"/>
      <c r="H40" s="386"/>
      <c r="I40" s="387"/>
    </row>
    <row r="41" spans="1:9">
      <c r="A41" s="920" t="s">
        <v>31</v>
      </c>
      <c r="B41" s="920"/>
      <c r="C41" s="920"/>
      <c r="D41" s="386"/>
      <c r="E41" s="386"/>
      <c r="F41" s="386"/>
      <c r="G41" s="386"/>
      <c r="H41" s="386"/>
      <c r="I41" s="386"/>
    </row>
    <row r="42" spans="1:9">
      <c r="A42" s="920" t="s">
        <v>32</v>
      </c>
      <c r="B42" s="920"/>
      <c r="C42" s="920"/>
      <c r="D42" s="387"/>
      <c r="E42" s="387"/>
      <c r="F42" s="387"/>
      <c r="G42" s="387"/>
      <c r="H42" s="387"/>
      <c r="I42" s="387"/>
    </row>
    <row r="43" spans="1:9">
      <c r="A43" s="920" t="s">
        <v>33</v>
      </c>
      <c r="B43" s="920"/>
      <c r="C43" s="920"/>
      <c r="D43" s="387"/>
      <c r="E43" s="387"/>
      <c r="F43" s="387"/>
      <c r="G43" s="387"/>
      <c r="H43" s="387"/>
      <c r="I43" s="387"/>
    </row>
    <row r="44" spans="1:9">
      <c r="A44" s="920" t="s">
        <v>34</v>
      </c>
      <c r="B44" s="920"/>
      <c r="C44" s="920"/>
      <c r="D44" s="387"/>
      <c r="E44" s="387"/>
      <c r="F44" s="387"/>
      <c r="G44" s="387"/>
      <c r="H44" s="387"/>
      <c r="I44" s="387"/>
    </row>
    <row r="45" spans="1:9">
      <c r="A45" s="919" t="s">
        <v>576</v>
      </c>
      <c r="B45" s="919"/>
      <c r="C45" s="919"/>
      <c r="D45" s="389"/>
      <c r="E45" s="389"/>
      <c r="F45" s="389"/>
      <c r="G45" s="389"/>
      <c r="H45" s="389"/>
      <c r="I45" s="389"/>
    </row>
    <row r="46" spans="1:9" ht="31.8" customHeight="1">
      <c r="A46" s="931" t="s">
        <v>392</v>
      </c>
      <c r="B46" s="931"/>
      <c r="C46" s="931"/>
      <c r="D46" s="931"/>
      <c r="E46" s="931"/>
      <c r="F46" s="931"/>
      <c r="G46" s="931"/>
      <c r="H46" s="931"/>
      <c r="I46" s="931"/>
    </row>
  </sheetData>
  <mergeCells count="24">
    <mergeCell ref="A46:I46"/>
    <mergeCell ref="A2:F2"/>
    <mergeCell ref="G2:I2"/>
    <mergeCell ref="B17:B20"/>
    <mergeCell ref="A4:A24"/>
    <mergeCell ref="A25:H25"/>
    <mergeCell ref="B21:B22"/>
    <mergeCell ref="E15:H15"/>
    <mergeCell ref="E24:H24"/>
    <mergeCell ref="A1:I1"/>
    <mergeCell ref="B4:B9"/>
    <mergeCell ref="B10:B13"/>
    <mergeCell ref="E37:H37"/>
    <mergeCell ref="A45:C45"/>
    <mergeCell ref="A44:C44"/>
    <mergeCell ref="A43:C43"/>
    <mergeCell ref="A42:C42"/>
    <mergeCell ref="A41:C41"/>
    <mergeCell ref="A40:C40"/>
    <mergeCell ref="A39:H39"/>
    <mergeCell ref="A38:H38"/>
    <mergeCell ref="B32:B35"/>
    <mergeCell ref="B27:B31"/>
    <mergeCell ref="A26:A36"/>
  </mergeCells>
  <printOptions horizontalCentered="1" verticalCentered="1"/>
  <pageMargins left="0.19685039370078741" right="0.19685039370078741" top="0" bottom="0" header="0" footer="0"/>
  <pageSetup paperSize="9" firstPageNumber="0" orientation="landscape" r:id="rId1"/>
  <rowBreaks count="1" manualBreakCount="1">
    <brk id="35" max="26" man="1"/>
  </rowBreaks>
  <ignoredErrors>
    <ignoredError sqref="I14:I15 F27:F36 I37:I39 F18:F23 F4:F14 H14 F17 H6:I13 H5:I5 H17:I23 H27:I36 I24:I25 H4:I4 G31:G36 D15 D24 G7:G14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N133"/>
  <sheetViews>
    <sheetView showGridLines="0" zoomScale="110" zoomScaleNormal="110" workbookViewId="0">
      <pane ySplit="3" topLeftCell="A91" activePane="bottomLeft" state="frozen"/>
      <selection pane="bottomLeft" activeCell="J102" sqref="J102"/>
    </sheetView>
  </sheetViews>
  <sheetFormatPr defaultColWidth="8.88671875" defaultRowHeight="13.8"/>
  <cols>
    <col min="1" max="1" width="5.5546875" style="184" customWidth="1"/>
    <col min="2" max="3" width="8.88671875" style="184"/>
    <col min="4" max="4" width="10.6640625" style="184" customWidth="1"/>
    <col min="5" max="5" width="7.109375" style="184" customWidth="1"/>
    <col min="6" max="6" width="9.44140625" style="184" customWidth="1"/>
    <col min="7" max="7" width="10.33203125" style="184" customWidth="1"/>
    <col min="8" max="8" width="11.77734375" style="201" customWidth="1"/>
    <col min="9" max="9" width="12.109375" style="202" customWidth="1"/>
    <col min="10" max="10" width="12.77734375" style="202" customWidth="1"/>
    <col min="11" max="11" width="10.5546875" style="184" bestFit="1" customWidth="1"/>
    <col min="12" max="17" width="8.88671875" style="184"/>
    <col min="18" max="18" width="11.6640625" style="184" customWidth="1"/>
    <col min="19" max="222" width="8.88671875" style="184"/>
    <col min="223" max="16384" width="8.88671875" style="185"/>
  </cols>
  <sheetData>
    <row r="1" spans="1:10" s="184" customFormat="1" ht="30.75" customHeight="1">
      <c r="A1" s="947" t="s">
        <v>10</v>
      </c>
      <c r="B1" s="948"/>
      <c r="C1" s="948"/>
      <c r="D1" s="948"/>
      <c r="E1" s="948"/>
      <c r="F1" s="948"/>
      <c r="G1" s="948"/>
      <c r="H1" s="948"/>
      <c r="I1" s="951" t="s">
        <v>296</v>
      </c>
      <c r="J1" s="952"/>
    </row>
    <row r="2" spans="1:10" s="184" customFormat="1" ht="27.6" customHeight="1">
      <c r="A2" s="949" t="s">
        <v>345</v>
      </c>
      <c r="B2" s="950"/>
      <c r="C2" s="950"/>
      <c r="D2" s="950"/>
      <c r="E2" s="950"/>
      <c r="F2" s="950"/>
      <c r="G2" s="950"/>
      <c r="H2" s="950"/>
      <c r="I2" s="724" t="s">
        <v>589</v>
      </c>
      <c r="J2" s="725" t="s">
        <v>590</v>
      </c>
    </row>
    <row r="3" spans="1:10" s="184" customFormat="1" ht="20.100000000000001" customHeight="1">
      <c r="A3" s="966" t="s">
        <v>37</v>
      </c>
      <c r="B3" s="967"/>
      <c r="C3" s="967"/>
      <c r="D3" s="967"/>
      <c r="E3" s="967"/>
      <c r="F3" s="967"/>
      <c r="G3" s="967"/>
      <c r="H3" s="967"/>
      <c r="I3" s="968"/>
      <c r="J3" s="968"/>
    </row>
    <row r="4" spans="1:10" s="184" customFormat="1" ht="20.100000000000001" customHeight="1">
      <c r="A4" s="213" t="s">
        <v>38</v>
      </c>
      <c r="B4" s="969" t="s">
        <v>39</v>
      </c>
      <c r="C4" s="970"/>
      <c r="D4" s="970"/>
      <c r="E4" s="970"/>
      <c r="F4" s="970"/>
      <c r="G4" s="970"/>
      <c r="H4" s="971"/>
      <c r="I4" s="953"/>
      <c r="J4" s="953"/>
    </row>
    <row r="5" spans="1:10" s="184" customFormat="1" ht="20.100000000000001" customHeight="1">
      <c r="A5" s="213" t="s">
        <v>40</v>
      </c>
      <c r="B5" s="969" t="s">
        <v>41</v>
      </c>
      <c r="C5" s="970"/>
      <c r="D5" s="970"/>
      <c r="E5" s="970"/>
      <c r="F5" s="970"/>
      <c r="G5" s="970"/>
      <c r="H5" s="971"/>
      <c r="I5" s="954" t="s">
        <v>360</v>
      </c>
      <c r="J5" s="954"/>
    </row>
    <row r="6" spans="1:10" s="184" customFormat="1" ht="20.100000000000001" customHeight="1">
      <c r="A6" s="213" t="s">
        <v>42</v>
      </c>
      <c r="B6" s="969" t="s">
        <v>43</v>
      </c>
      <c r="C6" s="970"/>
      <c r="D6" s="970"/>
      <c r="E6" s="970"/>
      <c r="F6" s="970"/>
      <c r="G6" s="970"/>
      <c r="H6" s="971"/>
      <c r="I6" s="954"/>
      <c r="J6" s="954"/>
    </row>
    <row r="7" spans="1:10" s="184" customFormat="1" ht="20.100000000000001" customHeight="1">
      <c r="A7" s="213" t="s">
        <v>44</v>
      </c>
      <c r="B7" s="969" t="s">
        <v>45</v>
      </c>
      <c r="C7" s="970"/>
      <c r="D7" s="970"/>
      <c r="E7" s="970"/>
      <c r="F7" s="970"/>
      <c r="G7" s="970"/>
      <c r="H7" s="971"/>
      <c r="I7" s="954">
        <v>20</v>
      </c>
      <c r="J7" s="954"/>
    </row>
    <row r="8" spans="1:10" s="184" customFormat="1" ht="34.950000000000003" customHeight="1">
      <c r="A8" s="972" t="s">
        <v>46</v>
      </c>
      <c r="B8" s="972"/>
      <c r="C8" s="972"/>
      <c r="D8" s="972"/>
      <c r="E8" s="972"/>
      <c r="F8" s="972"/>
      <c r="G8" s="972"/>
      <c r="H8" s="972"/>
      <c r="I8" s="973"/>
      <c r="J8" s="973"/>
    </row>
    <row r="9" spans="1:10" s="184" customFormat="1" ht="39" customHeight="1">
      <c r="A9" s="958" t="s">
        <v>47</v>
      </c>
      <c r="B9" s="958"/>
      <c r="C9" s="958"/>
      <c r="D9" s="958"/>
      <c r="E9" s="958"/>
      <c r="F9" s="958"/>
      <c r="G9" s="958" t="s">
        <v>48</v>
      </c>
      <c r="H9" s="958"/>
      <c r="I9" s="959" t="s">
        <v>49</v>
      </c>
      <c r="J9" s="960"/>
    </row>
    <row r="10" spans="1:10" s="184" customFormat="1" ht="20.100000000000001" customHeight="1">
      <c r="A10" s="955" t="s">
        <v>50</v>
      </c>
      <c r="B10" s="955"/>
      <c r="C10" s="955"/>
      <c r="D10" s="955"/>
      <c r="E10" s="955"/>
      <c r="F10" s="955"/>
      <c r="G10" s="955" t="s">
        <v>327</v>
      </c>
      <c r="H10" s="955"/>
      <c r="I10" s="956" t="s">
        <v>591</v>
      </c>
      <c r="J10" s="957"/>
    </row>
    <row r="11" spans="1:10" s="184" customFormat="1" ht="20.100000000000001" customHeight="1">
      <c r="A11" s="974" t="s">
        <v>51</v>
      </c>
      <c r="B11" s="974"/>
      <c r="C11" s="974"/>
      <c r="D11" s="974"/>
      <c r="E11" s="974"/>
      <c r="F11" s="974"/>
      <c r="G11" s="974"/>
      <c r="H11" s="974"/>
      <c r="I11" s="974"/>
      <c r="J11" s="974"/>
    </row>
    <row r="12" spans="1:10" s="184" customFormat="1" ht="20.100000000000001" customHeight="1">
      <c r="A12" s="213">
        <v>1</v>
      </c>
      <c r="B12" s="969" t="s">
        <v>52</v>
      </c>
      <c r="C12" s="970"/>
      <c r="D12" s="970"/>
      <c r="E12" s="970"/>
      <c r="F12" s="970"/>
      <c r="G12" s="970"/>
      <c r="H12" s="971"/>
      <c r="I12" s="1038" t="s">
        <v>341</v>
      </c>
      <c r="J12" s="1039"/>
    </row>
    <row r="13" spans="1:10" s="184" customFormat="1" ht="20.100000000000001" customHeight="1">
      <c r="A13" s="213">
        <v>2</v>
      </c>
      <c r="B13" s="969" t="s">
        <v>293</v>
      </c>
      <c r="C13" s="970"/>
      <c r="D13" s="970"/>
      <c r="E13" s="970"/>
      <c r="F13" s="970"/>
      <c r="G13" s="970"/>
      <c r="H13" s="971"/>
      <c r="I13" s="1033" t="s">
        <v>295</v>
      </c>
      <c r="J13" s="1034"/>
    </row>
    <row r="14" spans="1:10" s="184" customFormat="1" ht="20.100000000000001" customHeight="1">
      <c r="A14" s="213">
        <v>3</v>
      </c>
      <c r="B14" s="969" t="s">
        <v>53</v>
      </c>
      <c r="C14" s="970"/>
      <c r="D14" s="970"/>
      <c r="E14" s="970"/>
      <c r="F14" s="970"/>
      <c r="G14" s="970"/>
      <c r="H14" s="971"/>
      <c r="I14" s="1033">
        <v>1094.46</v>
      </c>
      <c r="J14" s="1034"/>
    </row>
    <row r="15" spans="1:10" s="184" customFormat="1" ht="20.100000000000001" customHeight="1">
      <c r="A15" s="213">
        <v>4</v>
      </c>
      <c r="B15" s="969" t="s">
        <v>54</v>
      </c>
      <c r="C15" s="970"/>
      <c r="D15" s="970"/>
      <c r="E15" s="970"/>
      <c r="F15" s="970"/>
      <c r="G15" s="970"/>
      <c r="H15" s="971"/>
      <c r="I15" s="1029" t="s">
        <v>296</v>
      </c>
      <c r="J15" s="1030"/>
    </row>
    <row r="16" spans="1:10" s="184" customFormat="1" ht="20.100000000000001" customHeight="1">
      <c r="A16" s="213">
        <v>5</v>
      </c>
      <c r="B16" s="969" t="s">
        <v>55</v>
      </c>
      <c r="C16" s="970"/>
      <c r="D16" s="970"/>
      <c r="E16" s="970"/>
      <c r="F16" s="970"/>
      <c r="G16" s="970"/>
      <c r="H16" s="971"/>
      <c r="I16" s="1031">
        <v>43101</v>
      </c>
      <c r="J16" s="1032"/>
    </row>
    <row r="17" spans="1:11" s="184" customFormat="1" ht="20.100000000000001" customHeight="1">
      <c r="A17" s="213">
        <v>6</v>
      </c>
      <c r="B17" s="969" t="s">
        <v>56</v>
      </c>
      <c r="C17" s="970"/>
      <c r="D17" s="970"/>
      <c r="E17" s="970"/>
      <c r="F17" s="970"/>
      <c r="G17" s="970"/>
      <c r="H17" s="971"/>
      <c r="I17" s="1033">
        <v>954</v>
      </c>
      <c r="J17" s="1034"/>
    </row>
    <row r="18" spans="1:11" s="222" customFormat="1" ht="20.100000000000001" customHeight="1">
      <c r="A18" s="213">
        <v>7</v>
      </c>
      <c r="B18" s="969" t="s">
        <v>330</v>
      </c>
      <c r="C18" s="970"/>
      <c r="D18" s="970"/>
      <c r="E18" s="970"/>
      <c r="F18" s="970"/>
      <c r="G18" s="970"/>
      <c r="H18" s="971"/>
      <c r="I18" s="1036">
        <v>21</v>
      </c>
      <c r="J18" s="1037"/>
    </row>
    <row r="19" spans="1:11" s="184" customFormat="1" ht="19.95" customHeight="1">
      <c r="A19" s="219"/>
      <c r="B19" s="220"/>
      <c r="C19" s="220"/>
      <c r="D19" s="220"/>
      <c r="E19" s="220"/>
      <c r="F19" s="220"/>
      <c r="G19" s="220"/>
      <c r="H19" s="221"/>
      <c r="I19" s="221"/>
      <c r="J19" s="222"/>
    </row>
    <row r="20" spans="1:11" s="184" customFormat="1" ht="25.95" customHeight="1">
      <c r="A20" s="1035" t="s">
        <v>334</v>
      </c>
      <c r="B20" s="1035"/>
      <c r="C20" s="1035"/>
      <c r="D20" s="1035"/>
      <c r="E20" s="1035"/>
      <c r="F20" s="1035"/>
      <c r="G20" s="1035"/>
      <c r="H20" s="1035"/>
      <c r="I20" s="748" t="s">
        <v>404</v>
      </c>
      <c r="J20" s="749" t="s">
        <v>405</v>
      </c>
    </row>
    <row r="21" spans="1:11" s="184" customFormat="1" ht="20.100000000000001" customHeight="1">
      <c r="A21" s="976" t="s">
        <v>57</v>
      </c>
      <c r="B21" s="976"/>
      <c r="C21" s="976"/>
      <c r="D21" s="976"/>
      <c r="E21" s="976"/>
      <c r="F21" s="976"/>
      <c r="G21" s="976"/>
      <c r="H21" s="976"/>
      <c r="I21" s="1026"/>
      <c r="J21" s="1027"/>
    </row>
    <row r="22" spans="1:11" s="184" customFormat="1" ht="19.2" customHeight="1">
      <c r="A22" s="250">
        <v>1</v>
      </c>
      <c r="B22" s="985" t="s">
        <v>58</v>
      </c>
      <c r="C22" s="985"/>
      <c r="D22" s="985"/>
      <c r="E22" s="985"/>
      <c r="F22" s="985"/>
      <c r="G22" s="985"/>
      <c r="H22" s="416" t="s">
        <v>59</v>
      </c>
      <c r="I22" s="418" t="s">
        <v>60</v>
      </c>
      <c r="J22" s="456" t="s">
        <v>60</v>
      </c>
    </row>
    <row r="23" spans="1:11" s="184" customFormat="1" ht="20.399999999999999" customHeight="1">
      <c r="A23" s="213" t="s">
        <v>38</v>
      </c>
      <c r="B23" s="1011" t="s">
        <v>332</v>
      </c>
      <c r="C23" s="1011"/>
      <c r="D23" s="1011"/>
      <c r="E23" s="1011"/>
      <c r="F23" s="1011"/>
      <c r="G23" s="1011"/>
      <c r="H23" s="1012"/>
      <c r="I23" s="419">
        <f>I14</f>
        <v>1094.46</v>
      </c>
      <c r="J23" s="478">
        <f>I14</f>
        <v>1094.46</v>
      </c>
    </row>
    <row r="24" spans="1:11" s="184" customFormat="1" ht="20.399999999999999" customHeight="1">
      <c r="A24" s="213" t="s">
        <v>40</v>
      </c>
      <c r="B24" s="1028" t="s">
        <v>292</v>
      </c>
      <c r="C24" s="1028"/>
      <c r="D24" s="1028"/>
      <c r="E24" s="1028"/>
      <c r="F24" s="1028"/>
      <c r="G24" s="1028"/>
      <c r="H24" s="417">
        <v>0.3</v>
      </c>
      <c r="I24" s="419">
        <f>ROUND(I23*H24,2)</f>
        <v>328.34</v>
      </c>
      <c r="J24" s="478"/>
    </row>
    <row r="25" spans="1:11" s="184" customFormat="1" ht="20.100000000000001" customHeight="1">
      <c r="A25" s="213" t="s">
        <v>42</v>
      </c>
      <c r="B25" s="1028" t="s">
        <v>335</v>
      </c>
      <c r="C25" s="1028"/>
      <c r="D25" s="1028"/>
      <c r="E25" s="1028"/>
      <c r="F25" s="1028"/>
      <c r="G25" s="1028"/>
      <c r="H25" s="417">
        <v>0.4</v>
      </c>
      <c r="I25" s="419"/>
      <c r="J25" s="478">
        <f>ROUND(I17*H25,2)</f>
        <v>381.6</v>
      </c>
      <c r="K25" s="230"/>
    </row>
    <row r="26" spans="1:11" s="184" customFormat="1" ht="20.100000000000001" customHeight="1">
      <c r="A26" s="213" t="s">
        <v>44</v>
      </c>
      <c r="B26" s="988" t="s">
        <v>62</v>
      </c>
      <c r="C26" s="988"/>
      <c r="D26" s="988"/>
      <c r="E26" s="988"/>
      <c r="F26" s="988"/>
      <c r="G26" s="988"/>
      <c r="H26" s="989"/>
      <c r="I26" s="419"/>
      <c r="J26" s="478"/>
    </row>
    <row r="27" spans="1:11" s="184" customFormat="1" ht="20.100000000000001" customHeight="1">
      <c r="A27" s="1001" t="s">
        <v>63</v>
      </c>
      <c r="B27" s="1001"/>
      <c r="C27" s="1001"/>
      <c r="D27" s="1001"/>
      <c r="E27" s="1001"/>
      <c r="F27" s="1001"/>
      <c r="G27" s="1001"/>
      <c r="H27" s="1007"/>
      <c r="I27" s="420">
        <f t="shared" ref="I27:J27" si="0">TRUNC(SUM(I23:I26),2)</f>
        <v>1422.8</v>
      </c>
      <c r="J27" s="479">
        <f t="shared" si="0"/>
        <v>1476.06</v>
      </c>
    </row>
    <row r="28" spans="1:11" s="184" customFormat="1" ht="20.100000000000001" customHeight="1">
      <c r="A28" s="976" t="s">
        <v>291</v>
      </c>
      <c r="B28" s="976"/>
      <c r="C28" s="976"/>
      <c r="D28" s="976"/>
      <c r="E28" s="976"/>
      <c r="F28" s="976"/>
      <c r="G28" s="976"/>
      <c r="H28" s="976"/>
      <c r="I28" s="977"/>
      <c r="J28" s="978"/>
    </row>
    <row r="29" spans="1:11" s="184" customFormat="1" ht="25.2" customHeight="1">
      <c r="A29" s="976" t="s">
        <v>624</v>
      </c>
      <c r="B29" s="976"/>
      <c r="C29" s="976"/>
      <c r="D29" s="976"/>
      <c r="E29" s="976"/>
      <c r="F29" s="976"/>
      <c r="G29" s="976"/>
      <c r="H29" s="976"/>
      <c r="I29" s="976"/>
      <c r="J29" s="979"/>
    </row>
    <row r="30" spans="1:11" s="184" customFormat="1" ht="21" customHeight="1">
      <c r="A30" s="250" t="s">
        <v>8</v>
      </c>
      <c r="B30" s="1025" t="s">
        <v>626</v>
      </c>
      <c r="C30" s="1025"/>
      <c r="D30" s="1025"/>
      <c r="E30" s="1025"/>
      <c r="F30" s="1025"/>
      <c r="G30" s="1025"/>
      <c r="H30" s="252" t="s">
        <v>59</v>
      </c>
      <c r="I30" s="404" t="s">
        <v>60</v>
      </c>
      <c r="J30" s="480" t="s">
        <v>60</v>
      </c>
      <c r="K30" s="229"/>
    </row>
    <row r="31" spans="1:11" s="184" customFormat="1" ht="18" customHeight="1">
      <c r="A31" s="213" t="s">
        <v>38</v>
      </c>
      <c r="B31" s="1011" t="s">
        <v>331</v>
      </c>
      <c r="C31" s="1011"/>
      <c r="D31" s="1011"/>
      <c r="E31" s="1011"/>
      <c r="F31" s="1011"/>
      <c r="G31" s="1011"/>
      <c r="H31" s="408">
        <f>1/12</f>
        <v>8.3333333333333329E-2</v>
      </c>
      <c r="I31" s="406">
        <f>ROUND($I$27*H31,2)</f>
        <v>118.57</v>
      </c>
      <c r="J31" s="481">
        <f>ROUND($J$27*H31,2)</f>
        <v>123.01</v>
      </c>
      <c r="K31"/>
    </row>
    <row r="32" spans="1:11" ht="20.100000000000001" customHeight="1">
      <c r="A32" s="213" t="s">
        <v>40</v>
      </c>
      <c r="B32" s="988" t="s">
        <v>625</v>
      </c>
      <c r="C32" s="988"/>
      <c r="D32" s="988"/>
      <c r="E32" s="988"/>
      <c r="F32" s="988"/>
      <c r="G32" s="988"/>
      <c r="H32" s="795">
        <f>(5/56/3)</f>
        <v>2.9761904761904764E-2</v>
      </c>
      <c r="I32" s="406">
        <f>ROUND(H32*I27,2)</f>
        <v>42.35</v>
      </c>
      <c r="J32" s="481">
        <f>ROUND(H32*J27,2)</f>
        <v>43.93</v>
      </c>
    </row>
    <row r="33" spans="1:222" ht="20.100000000000001" customHeight="1">
      <c r="A33" s="1001" t="s">
        <v>85</v>
      </c>
      <c r="B33" s="1001"/>
      <c r="C33" s="1001"/>
      <c r="D33" s="1001"/>
      <c r="E33" s="1001"/>
      <c r="F33" s="1001"/>
      <c r="G33" s="1001"/>
      <c r="H33" s="398">
        <f t="shared" ref="H33" si="1">H31+H32</f>
        <v>0.1130952380952381</v>
      </c>
      <c r="I33" s="407">
        <f t="shared" ref="I33:J33" si="2">TRUNC(I31+I32,2)</f>
        <v>160.91999999999999</v>
      </c>
      <c r="J33" s="482">
        <f t="shared" si="2"/>
        <v>166.94</v>
      </c>
    </row>
    <row r="34" spans="1:222" ht="20.100000000000001" customHeight="1">
      <c r="A34" s="213" t="s">
        <v>42</v>
      </c>
      <c r="B34" s="1011" t="s">
        <v>290</v>
      </c>
      <c r="C34" s="1011"/>
      <c r="D34" s="1011"/>
      <c r="E34" s="1011"/>
      <c r="F34" s="1011"/>
      <c r="G34" s="1011"/>
      <c r="H34" s="409">
        <f>H33*H46</f>
        <v>3.8226190476190476E-2</v>
      </c>
      <c r="I34" s="407">
        <f>ROUND(I33*H46,2)</f>
        <v>54.39</v>
      </c>
      <c r="J34" s="482">
        <f>ROUND(J33*H46,2)</f>
        <v>56.43</v>
      </c>
    </row>
    <row r="35" spans="1:222" ht="25.2" customHeight="1">
      <c r="A35" s="1001" t="s">
        <v>84</v>
      </c>
      <c r="B35" s="1001"/>
      <c r="C35" s="1001"/>
      <c r="D35" s="1001"/>
      <c r="E35" s="1001"/>
      <c r="F35" s="1001"/>
      <c r="G35" s="1001"/>
      <c r="H35" s="410">
        <f>H33+H34</f>
        <v>0.15132142857142858</v>
      </c>
      <c r="I35" s="407">
        <f t="shared" ref="I35:J35" si="3">TRUNC(I33+I34,2)</f>
        <v>215.31</v>
      </c>
      <c r="J35" s="482">
        <f t="shared" si="3"/>
        <v>223.37</v>
      </c>
    </row>
    <row r="36" spans="1:222" ht="19.95" customHeight="1">
      <c r="A36" s="982" t="s">
        <v>289</v>
      </c>
      <c r="B36" s="982"/>
      <c r="C36" s="982"/>
      <c r="D36" s="982"/>
      <c r="E36" s="982"/>
      <c r="F36" s="982"/>
      <c r="G36" s="982"/>
      <c r="H36" s="982"/>
      <c r="I36" s="983"/>
      <c r="J36" s="984"/>
    </row>
    <row r="37" spans="1:222" ht="20.100000000000001" customHeight="1">
      <c r="A37" s="250" t="s">
        <v>282</v>
      </c>
      <c r="B37" s="1025" t="s">
        <v>288</v>
      </c>
      <c r="C37" s="1025"/>
      <c r="D37" s="1025"/>
      <c r="E37" s="1025"/>
      <c r="F37" s="1025"/>
      <c r="G37" s="1025"/>
      <c r="H37" s="250" t="s">
        <v>59</v>
      </c>
      <c r="I37" s="399" t="s">
        <v>60</v>
      </c>
      <c r="J37" s="483" t="s">
        <v>60</v>
      </c>
    </row>
    <row r="38" spans="1:222" ht="20.100000000000001" customHeight="1">
      <c r="A38" s="213" t="s">
        <v>38</v>
      </c>
      <c r="B38" s="988" t="s">
        <v>78</v>
      </c>
      <c r="C38" s="988"/>
      <c r="D38" s="988"/>
      <c r="E38" s="988"/>
      <c r="F38" s="988"/>
      <c r="G38" s="988"/>
      <c r="H38" s="396">
        <v>0.2</v>
      </c>
      <c r="I38" s="400">
        <f t="shared" ref="I38:I45" si="4">ROUND($I$27*H38,2)</f>
        <v>284.56</v>
      </c>
      <c r="J38" s="484">
        <f>ROUND($J$27*H38,2)</f>
        <v>295.20999999999998</v>
      </c>
    </row>
    <row r="39" spans="1:222" ht="22.2" customHeight="1">
      <c r="A39" s="213" t="s">
        <v>40</v>
      </c>
      <c r="B39" s="988" t="s">
        <v>80</v>
      </c>
      <c r="C39" s="988"/>
      <c r="D39" s="988"/>
      <c r="E39" s="988"/>
      <c r="F39" s="988"/>
      <c r="G39" s="988"/>
      <c r="H39" s="396">
        <v>2.5000000000000001E-2</v>
      </c>
      <c r="I39" s="406">
        <f t="shared" si="4"/>
        <v>35.57</v>
      </c>
      <c r="J39" s="481">
        <f>ROUND($J$27*H39,2)</f>
        <v>36.9</v>
      </c>
    </row>
    <row r="40" spans="1:222" ht="21.75" customHeight="1">
      <c r="A40" s="213" t="s">
        <v>42</v>
      </c>
      <c r="B40" s="988" t="s">
        <v>323</v>
      </c>
      <c r="C40" s="988"/>
      <c r="D40" s="988"/>
      <c r="E40" s="988"/>
      <c r="F40" s="988"/>
      <c r="G40" s="988"/>
      <c r="H40" s="397">
        <v>0</v>
      </c>
      <c r="I40" s="406">
        <f t="shared" si="4"/>
        <v>0</v>
      </c>
      <c r="J40" s="481">
        <f>ROUND($J$27*H40,2)</f>
        <v>0</v>
      </c>
    </row>
    <row r="41" spans="1:222" ht="20.100000000000001" customHeight="1">
      <c r="A41" s="213" t="s">
        <v>44</v>
      </c>
      <c r="B41" s="988" t="s">
        <v>287</v>
      </c>
      <c r="C41" s="988"/>
      <c r="D41" s="988"/>
      <c r="E41" s="988"/>
      <c r="F41" s="988"/>
      <c r="G41" s="988"/>
      <c r="H41" s="396">
        <v>1.4999999999999999E-2</v>
      </c>
      <c r="I41" s="406">
        <f t="shared" si="4"/>
        <v>21.34</v>
      </c>
      <c r="J41" s="481">
        <f>ROUND($J$27*H41,2)</f>
        <v>22.14</v>
      </c>
    </row>
    <row r="42" spans="1:222" ht="20.100000000000001" customHeight="1">
      <c r="A42" s="213" t="s">
        <v>27</v>
      </c>
      <c r="B42" s="988" t="s">
        <v>286</v>
      </c>
      <c r="C42" s="988"/>
      <c r="D42" s="988"/>
      <c r="E42" s="988"/>
      <c r="F42" s="988"/>
      <c r="G42" s="988"/>
      <c r="H42" s="396">
        <v>0.01</v>
      </c>
      <c r="I42" s="406">
        <f t="shared" si="4"/>
        <v>14.23</v>
      </c>
      <c r="J42" s="481">
        <f t="shared" ref="J42:J45" si="5">ROUND($J$27*H42,2)</f>
        <v>14.76</v>
      </c>
    </row>
    <row r="43" spans="1:222" ht="20.100000000000001" customHeight="1">
      <c r="A43" s="213" t="s">
        <v>67</v>
      </c>
      <c r="B43" s="988" t="s">
        <v>83</v>
      </c>
      <c r="C43" s="988"/>
      <c r="D43" s="988"/>
      <c r="E43" s="988"/>
      <c r="F43" s="988"/>
      <c r="G43" s="988"/>
      <c r="H43" s="396">
        <v>6.0000000000000001E-3</v>
      </c>
      <c r="I43" s="406">
        <f t="shared" si="4"/>
        <v>8.5399999999999991</v>
      </c>
      <c r="J43" s="481">
        <f t="shared" si="5"/>
        <v>8.86</v>
      </c>
    </row>
    <row r="44" spans="1:222" ht="20.100000000000001" customHeight="1">
      <c r="A44" s="213" t="s">
        <v>82</v>
      </c>
      <c r="B44" s="988" t="s">
        <v>79</v>
      </c>
      <c r="C44" s="988"/>
      <c r="D44" s="988"/>
      <c r="E44" s="988"/>
      <c r="F44" s="988"/>
      <c r="G44" s="988"/>
      <c r="H44" s="396">
        <v>2E-3</v>
      </c>
      <c r="I44" s="406">
        <f t="shared" si="4"/>
        <v>2.85</v>
      </c>
      <c r="J44" s="481">
        <f t="shared" si="5"/>
        <v>2.95</v>
      </c>
    </row>
    <row r="45" spans="1:222" ht="20.100000000000001" customHeight="1">
      <c r="A45" s="213" t="s">
        <v>61</v>
      </c>
      <c r="B45" s="988" t="s">
        <v>81</v>
      </c>
      <c r="C45" s="988"/>
      <c r="D45" s="988"/>
      <c r="E45" s="988"/>
      <c r="F45" s="988"/>
      <c r="G45" s="988"/>
      <c r="H45" s="396">
        <v>0.08</v>
      </c>
      <c r="I45" s="406">
        <f t="shared" si="4"/>
        <v>113.82</v>
      </c>
      <c r="J45" s="481">
        <f t="shared" si="5"/>
        <v>118.08</v>
      </c>
    </row>
    <row r="46" spans="1:222" s="187" customFormat="1" ht="20.100000000000001" customHeight="1">
      <c r="A46" s="1001" t="s">
        <v>84</v>
      </c>
      <c r="B46" s="1001"/>
      <c r="C46" s="1001"/>
      <c r="D46" s="1001"/>
      <c r="E46" s="1001"/>
      <c r="F46" s="1001"/>
      <c r="G46" s="1001"/>
      <c r="H46" s="398">
        <f t="shared" ref="H46:I46" si="6">SUM(H38:H45)</f>
        <v>0.33800000000000002</v>
      </c>
      <c r="I46" s="407">
        <f t="shared" si="6"/>
        <v>480.91</v>
      </c>
      <c r="J46" s="482">
        <f t="shared" ref="J46" si="7">SUM(J38:J45)</f>
        <v>498.89999999999992</v>
      </c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  <c r="AY46" s="186"/>
      <c r="AZ46" s="186"/>
      <c r="BA46" s="186"/>
      <c r="BB46" s="186"/>
      <c r="BC46" s="186"/>
      <c r="BD46" s="186"/>
      <c r="BE46" s="186"/>
      <c r="BF46" s="186"/>
      <c r="BG46" s="186"/>
      <c r="BH46" s="186"/>
      <c r="BI46" s="186"/>
      <c r="BJ46" s="186"/>
      <c r="BK46" s="186"/>
      <c r="BL46" s="186"/>
      <c r="BM46" s="186"/>
      <c r="BN46" s="186"/>
      <c r="BO46" s="186"/>
      <c r="BP46" s="186"/>
      <c r="BQ46" s="186"/>
      <c r="BR46" s="186"/>
      <c r="BS46" s="186"/>
      <c r="BT46" s="186"/>
      <c r="BU46" s="186"/>
      <c r="BV46" s="186"/>
      <c r="BW46" s="186"/>
      <c r="BX46" s="186"/>
      <c r="BY46" s="186"/>
      <c r="BZ46" s="186"/>
      <c r="CA46" s="186"/>
      <c r="CB46" s="186"/>
      <c r="CC46" s="186"/>
      <c r="CD46" s="186"/>
      <c r="CE46" s="186"/>
      <c r="CF46" s="186"/>
      <c r="CG46" s="186"/>
      <c r="CH46" s="186"/>
      <c r="CI46" s="186"/>
      <c r="CJ46" s="186"/>
      <c r="CK46" s="186"/>
      <c r="CL46" s="186"/>
      <c r="CM46" s="186"/>
      <c r="CN46" s="186"/>
      <c r="CO46" s="186"/>
      <c r="CP46" s="186"/>
      <c r="CQ46" s="186"/>
      <c r="CR46" s="186"/>
      <c r="CS46" s="186"/>
      <c r="CT46" s="186"/>
      <c r="CU46" s="186"/>
      <c r="CV46" s="186"/>
      <c r="CW46" s="186"/>
      <c r="CX46" s="186"/>
      <c r="CY46" s="186"/>
      <c r="CZ46" s="186"/>
      <c r="DA46" s="186"/>
      <c r="DB46" s="186"/>
      <c r="DC46" s="186"/>
      <c r="DD46" s="186"/>
      <c r="DE46" s="186"/>
      <c r="DF46" s="186"/>
      <c r="DG46" s="186"/>
      <c r="DH46" s="186"/>
      <c r="DI46" s="186"/>
      <c r="DJ46" s="186"/>
      <c r="DK46" s="186"/>
      <c r="DL46" s="186"/>
      <c r="DM46" s="186"/>
      <c r="DN46" s="186"/>
      <c r="DO46" s="186"/>
      <c r="DP46" s="186"/>
      <c r="DQ46" s="186"/>
      <c r="DR46" s="186"/>
      <c r="DS46" s="186"/>
      <c r="DT46" s="186"/>
      <c r="DU46" s="186"/>
      <c r="DV46" s="186"/>
      <c r="DW46" s="186"/>
      <c r="DX46" s="186"/>
      <c r="DY46" s="186"/>
      <c r="DZ46" s="186"/>
      <c r="EA46" s="186"/>
      <c r="EB46" s="186"/>
      <c r="EC46" s="186"/>
      <c r="ED46" s="186"/>
      <c r="EE46" s="186"/>
      <c r="EF46" s="186"/>
      <c r="EG46" s="186"/>
      <c r="EH46" s="186"/>
      <c r="EI46" s="186"/>
      <c r="EJ46" s="186"/>
      <c r="EK46" s="186"/>
      <c r="EL46" s="186"/>
      <c r="EM46" s="186"/>
      <c r="EN46" s="186"/>
      <c r="EO46" s="186"/>
      <c r="EP46" s="186"/>
      <c r="EQ46" s="186"/>
      <c r="ER46" s="186"/>
      <c r="ES46" s="186"/>
      <c r="ET46" s="186"/>
      <c r="EU46" s="186"/>
      <c r="EV46" s="186"/>
      <c r="EW46" s="186"/>
      <c r="EX46" s="186"/>
      <c r="EY46" s="186"/>
      <c r="EZ46" s="186"/>
      <c r="FA46" s="186"/>
      <c r="FB46" s="186"/>
      <c r="FC46" s="186"/>
      <c r="FD46" s="186"/>
      <c r="FE46" s="186"/>
      <c r="FF46" s="186"/>
      <c r="FG46" s="186"/>
      <c r="FH46" s="186"/>
      <c r="FI46" s="186"/>
      <c r="FJ46" s="186"/>
      <c r="FK46" s="186"/>
      <c r="FL46" s="186"/>
      <c r="FM46" s="186"/>
      <c r="FN46" s="186"/>
      <c r="FO46" s="186"/>
      <c r="FP46" s="186"/>
      <c r="FQ46" s="186"/>
      <c r="FR46" s="186"/>
      <c r="FS46" s="186"/>
      <c r="FT46" s="186"/>
      <c r="FU46" s="186"/>
      <c r="FV46" s="186"/>
      <c r="FW46" s="186"/>
      <c r="FX46" s="186"/>
      <c r="FY46" s="186"/>
      <c r="FZ46" s="186"/>
      <c r="GA46" s="186"/>
      <c r="GB46" s="186"/>
      <c r="GC46" s="186"/>
      <c r="GD46" s="186"/>
      <c r="GE46" s="186"/>
      <c r="GF46" s="186"/>
      <c r="GG46" s="186"/>
      <c r="GH46" s="186"/>
      <c r="GI46" s="186"/>
      <c r="GJ46" s="186"/>
      <c r="GK46" s="186"/>
      <c r="GL46" s="186"/>
      <c r="GM46" s="186"/>
      <c r="GN46" s="186"/>
      <c r="GO46" s="186"/>
      <c r="GP46" s="186"/>
      <c r="GQ46" s="186"/>
      <c r="GR46" s="186"/>
      <c r="GS46" s="186"/>
      <c r="GT46" s="186"/>
      <c r="GU46" s="186"/>
      <c r="GV46" s="186"/>
      <c r="GW46" s="186"/>
      <c r="GX46" s="186"/>
      <c r="GY46" s="186"/>
      <c r="GZ46" s="186"/>
      <c r="HA46" s="186"/>
      <c r="HB46" s="186"/>
      <c r="HC46" s="186"/>
      <c r="HD46" s="186"/>
      <c r="HE46" s="186"/>
      <c r="HF46" s="186"/>
      <c r="HG46" s="186"/>
      <c r="HH46" s="186"/>
      <c r="HI46" s="186"/>
      <c r="HJ46" s="186"/>
      <c r="HK46" s="186"/>
      <c r="HL46" s="186"/>
      <c r="HM46" s="186"/>
      <c r="HN46" s="186"/>
    </row>
    <row r="47" spans="1:222" ht="20.100000000000001" customHeight="1">
      <c r="A47" s="985" t="s">
        <v>381</v>
      </c>
      <c r="B47" s="985"/>
      <c r="C47" s="985"/>
      <c r="D47" s="985"/>
      <c r="E47" s="985"/>
      <c r="F47" s="985"/>
      <c r="G47" s="985"/>
      <c r="H47" s="985"/>
      <c r="I47" s="986"/>
      <c r="J47" s="987"/>
    </row>
    <row r="48" spans="1:222" s="188" customFormat="1" ht="22.2" customHeight="1">
      <c r="A48" s="250" t="s">
        <v>280</v>
      </c>
      <c r="B48" s="985" t="s">
        <v>64</v>
      </c>
      <c r="C48" s="985"/>
      <c r="D48" s="985"/>
      <c r="E48" s="985"/>
      <c r="F48" s="985"/>
      <c r="G48" s="985"/>
      <c r="H48" s="985"/>
      <c r="I48" s="404" t="s">
        <v>60</v>
      </c>
      <c r="J48" s="480" t="s">
        <v>60</v>
      </c>
      <c r="K48" s="1015"/>
      <c r="L48" s="1015"/>
      <c r="M48" s="1015"/>
      <c r="N48" s="1015"/>
      <c r="O48" s="1015"/>
      <c r="P48" s="214"/>
      <c r="Q48" s="214"/>
      <c r="R48" s="214"/>
      <c r="S48" s="215"/>
      <c r="T48" s="215"/>
      <c r="U48" s="215"/>
      <c r="V48" s="1015"/>
      <c r="W48" s="1015"/>
      <c r="X48" s="1015"/>
      <c r="Y48" s="1015"/>
      <c r="Z48" s="1015"/>
      <c r="AA48" s="1015"/>
      <c r="AB48" s="1015"/>
      <c r="AC48" s="1015"/>
      <c r="AD48" s="1015"/>
      <c r="AE48" s="1015"/>
      <c r="AF48" s="1015"/>
      <c r="AG48" s="1015"/>
      <c r="AH48" s="1015"/>
      <c r="AI48" s="1015"/>
      <c r="AJ48" s="1015"/>
      <c r="AK48" s="1015"/>
      <c r="AL48" s="1015"/>
      <c r="AM48" s="1015"/>
      <c r="AN48" s="1015"/>
      <c r="AO48" s="1015"/>
      <c r="AP48" s="1015"/>
      <c r="AQ48" s="1015"/>
      <c r="AR48" s="1015"/>
      <c r="AS48" s="1015"/>
      <c r="AT48" s="1015"/>
      <c r="AU48" s="1015"/>
      <c r="AV48" s="1015"/>
      <c r="AW48" s="1015"/>
      <c r="AX48" s="1015"/>
      <c r="AY48" s="1015"/>
      <c r="AZ48" s="1015"/>
      <c r="BA48" s="1015"/>
      <c r="BB48" s="1015"/>
      <c r="BC48" s="1015"/>
      <c r="BD48" s="1015"/>
      <c r="BE48" s="1015"/>
      <c r="BF48" s="1015"/>
      <c r="BG48" s="1015"/>
      <c r="BH48" s="1015"/>
      <c r="BI48" s="1015"/>
      <c r="BJ48" s="1015"/>
      <c r="BK48" s="1015"/>
      <c r="BL48" s="1015"/>
      <c r="BM48" s="1015"/>
      <c r="BN48" s="1015"/>
      <c r="BO48" s="1015"/>
      <c r="BP48" s="1015"/>
      <c r="BQ48" s="1015"/>
      <c r="BR48" s="1015"/>
      <c r="BS48" s="1015"/>
      <c r="BT48" s="1015"/>
      <c r="BU48" s="1015"/>
      <c r="BV48" s="1015"/>
      <c r="BW48" s="1015"/>
      <c r="BX48" s="1015"/>
      <c r="BY48" s="1015"/>
      <c r="BZ48" s="1015"/>
      <c r="CA48" s="1015"/>
      <c r="CB48" s="1015"/>
      <c r="CC48" s="1015"/>
      <c r="CD48" s="1015"/>
      <c r="CE48" s="1015"/>
      <c r="CF48" s="1015"/>
      <c r="CG48" s="1015"/>
      <c r="CH48" s="1015"/>
      <c r="CI48" s="1015"/>
      <c r="CJ48" s="1015"/>
      <c r="CK48" s="1015"/>
      <c r="CL48" s="1015"/>
      <c r="CM48" s="1015"/>
      <c r="CN48" s="1015"/>
      <c r="CO48" s="1015"/>
      <c r="CP48" s="1015"/>
      <c r="CQ48" s="1015"/>
      <c r="CR48" s="1015"/>
      <c r="CS48" s="1015"/>
      <c r="CT48" s="1015"/>
      <c r="CU48" s="1015"/>
      <c r="CV48" s="1015"/>
      <c r="CW48" s="1015"/>
      <c r="CX48" s="1015"/>
      <c r="CY48" s="1015"/>
      <c r="CZ48" s="1015"/>
      <c r="DA48" s="1015"/>
      <c r="DB48" s="1015"/>
      <c r="DC48" s="1015"/>
      <c r="DD48" s="1015"/>
      <c r="DE48" s="1015"/>
      <c r="DF48" s="1015"/>
      <c r="DG48" s="1015"/>
      <c r="DH48" s="1015"/>
      <c r="DI48" s="1015"/>
      <c r="DJ48" s="1015"/>
      <c r="DK48" s="1015"/>
      <c r="DL48" s="1015"/>
      <c r="DM48" s="1015"/>
      <c r="DN48" s="1015"/>
      <c r="DO48" s="1015"/>
      <c r="DP48" s="1015"/>
      <c r="DQ48" s="1015"/>
      <c r="DR48" s="1015"/>
      <c r="DS48" s="1015"/>
      <c r="DT48" s="1015"/>
      <c r="DU48" s="1015"/>
      <c r="DV48" s="1015"/>
      <c r="DW48" s="1015"/>
      <c r="DX48" s="1015"/>
      <c r="DY48" s="1015"/>
      <c r="DZ48" s="1015"/>
      <c r="EA48" s="1015"/>
      <c r="EB48" s="1015"/>
      <c r="EC48" s="1015"/>
      <c r="ED48" s="1015"/>
      <c r="EE48" s="1015"/>
      <c r="EF48" s="1015"/>
      <c r="EG48" s="1015"/>
      <c r="EH48" s="1015"/>
      <c r="EI48" s="1015"/>
      <c r="EJ48" s="1015"/>
      <c r="EK48" s="1015"/>
      <c r="EL48" s="1015"/>
      <c r="EM48" s="1015"/>
      <c r="EN48" s="1015"/>
      <c r="EO48" s="1015"/>
      <c r="EP48" s="1015"/>
      <c r="EQ48" s="1015"/>
      <c r="ER48" s="1015"/>
      <c r="ES48" s="1015"/>
      <c r="ET48" s="1015"/>
      <c r="EU48" s="1015"/>
      <c r="EV48" s="1015"/>
      <c r="EW48" s="1015"/>
      <c r="EX48" s="1015"/>
      <c r="EY48" s="1015"/>
      <c r="EZ48" s="1015"/>
      <c r="FA48" s="1015"/>
      <c r="FB48" s="1015"/>
      <c r="FC48" s="1015"/>
      <c r="FD48" s="1015"/>
      <c r="FE48" s="1015"/>
      <c r="FF48" s="1015"/>
      <c r="FG48" s="1015"/>
      <c r="FH48" s="1015"/>
      <c r="FI48" s="1015"/>
      <c r="FJ48" s="1015"/>
      <c r="FK48" s="1015"/>
      <c r="FL48" s="1015"/>
      <c r="FM48" s="1015"/>
      <c r="FN48" s="1015"/>
      <c r="FO48" s="1015"/>
      <c r="FP48" s="1015"/>
      <c r="FQ48" s="1015"/>
      <c r="FR48" s="1015"/>
      <c r="FS48" s="1015"/>
      <c r="FT48" s="1015"/>
      <c r="FU48" s="1015"/>
      <c r="FV48" s="1015"/>
      <c r="FW48" s="1015"/>
      <c r="FX48" s="1015"/>
      <c r="FY48" s="1015"/>
      <c r="FZ48" s="1015"/>
      <c r="GA48" s="1015"/>
      <c r="GB48" s="1015"/>
      <c r="GC48" s="1015"/>
      <c r="GD48" s="1015"/>
      <c r="GE48" s="1015"/>
      <c r="GF48" s="1015"/>
      <c r="GG48" s="1015"/>
      <c r="GH48" s="1015"/>
      <c r="GI48" s="1015"/>
      <c r="GJ48" s="1015"/>
      <c r="GK48" s="1015"/>
      <c r="GL48" s="1015"/>
      <c r="GM48" s="1015"/>
      <c r="GN48" s="1015"/>
      <c r="GO48" s="1015"/>
      <c r="GP48" s="1015"/>
      <c r="GQ48" s="1015"/>
      <c r="GR48" s="1015"/>
      <c r="GS48" s="1015"/>
      <c r="GT48" s="1015"/>
      <c r="GU48" s="1015"/>
      <c r="GV48" s="1015"/>
      <c r="GW48" s="1015"/>
      <c r="GX48" s="1015"/>
      <c r="GY48" s="1015"/>
      <c r="GZ48" s="1015"/>
      <c r="HA48" s="1015"/>
      <c r="HB48" s="1015"/>
      <c r="HC48" s="1015"/>
      <c r="HD48" s="1015"/>
      <c r="HE48" s="1015"/>
    </row>
    <row r="49" spans="1:10" s="184" customFormat="1" ht="22.95" customHeight="1">
      <c r="A49" s="213" t="s">
        <v>38</v>
      </c>
      <c r="B49" s="1012" t="s">
        <v>601</v>
      </c>
      <c r="C49" s="1013"/>
      <c r="D49" s="1013"/>
      <c r="E49" s="1014"/>
      <c r="F49" s="390">
        <v>21</v>
      </c>
      <c r="G49" s="390">
        <v>2</v>
      </c>
      <c r="H49" s="402">
        <v>3.8</v>
      </c>
      <c r="I49" s="406">
        <f>ROUND((G49*H49*F49)-(6%*I23),2)</f>
        <v>93.93</v>
      </c>
      <c r="J49" s="481">
        <f>ROUND((G49*H49*F49)-(6%*J23),2)</f>
        <v>93.93</v>
      </c>
    </row>
    <row r="50" spans="1:10" s="184" customFormat="1" ht="22.8" customHeight="1">
      <c r="A50" s="213" t="s">
        <v>40</v>
      </c>
      <c r="B50" s="1016" t="s">
        <v>459</v>
      </c>
      <c r="C50" s="1017"/>
      <c r="D50" s="1017"/>
      <c r="E50" s="1017"/>
      <c r="F50" s="1018"/>
      <c r="G50" s="189">
        <v>360</v>
      </c>
      <c r="H50" s="403">
        <f>G50*0.99%</f>
        <v>3.5639999999999996</v>
      </c>
      <c r="I50" s="406">
        <f>ROUND(G50-H50,2)</f>
        <v>356.44</v>
      </c>
      <c r="J50" s="481">
        <f>ROUND(G50-H50,2)</f>
        <v>356.44</v>
      </c>
    </row>
    <row r="51" spans="1:10" s="184" customFormat="1" ht="21" customHeight="1">
      <c r="A51" s="213" t="s">
        <v>42</v>
      </c>
      <c r="B51" s="988" t="s">
        <v>65</v>
      </c>
      <c r="C51" s="988"/>
      <c r="D51" s="988"/>
      <c r="E51" s="988"/>
      <c r="F51" s="988"/>
      <c r="G51" s="988"/>
      <c r="H51" s="989"/>
      <c r="I51" s="406"/>
      <c r="J51" s="481"/>
    </row>
    <row r="52" spans="1:10" s="184" customFormat="1" ht="20.100000000000001" customHeight="1">
      <c r="A52" s="213" t="s">
        <v>44</v>
      </c>
      <c r="B52" s="988" t="s">
        <v>66</v>
      </c>
      <c r="C52" s="988"/>
      <c r="D52" s="988"/>
      <c r="E52" s="988"/>
      <c r="F52" s="988"/>
      <c r="G52" s="988"/>
      <c r="H52" s="989"/>
      <c r="I52" s="406"/>
      <c r="J52" s="481"/>
    </row>
    <row r="53" spans="1:10" s="184" customFormat="1" ht="20.100000000000001" customHeight="1">
      <c r="A53" s="213" t="s">
        <v>27</v>
      </c>
      <c r="B53" s="988" t="s">
        <v>324</v>
      </c>
      <c r="C53" s="988"/>
      <c r="D53" s="988"/>
      <c r="E53" s="988"/>
      <c r="F53" s="988"/>
      <c r="G53" s="988"/>
      <c r="H53" s="989"/>
      <c r="I53" s="406"/>
      <c r="J53" s="481"/>
    </row>
    <row r="54" spans="1:10" s="191" customFormat="1" ht="20.100000000000001" customHeight="1">
      <c r="A54" s="213" t="s">
        <v>67</v>
      </c>
      <c r="B54" s="988" t="s">
        <v>62</v>
      </c>
      <c r="C54" s="988"/>
      <c r="D54" s="988"/>
      <c r="E54" s="988"/>
      <c r="F54" s="988"/>
      <c r="G54" s="988"/>
      <c r="H54" s="989"/>
      <c r="I54" s="406"/>
      <c r="J54" s="481"/>
    </row>
    <row r="55" spans="1:10" s="184" customFormat="1" ht="20.100000000000001" customHeight="1">
      <c r="A55" s="744"/>
      <c r="B55" s="1023" t="s">
        <v>68</v>
      </c>
      <c r="C55" s="1023"/>
      <c r="D55" s="1023"/>
      <c r="E55" s="1023"/>
      <c r="F55" s="1023"/>
      <c r="G55" s="1023"/>
      <c r="H55" s="1024"/>
      <c r="I55" s="745">
        <f t="shared" ref="I55:J55" si="8">TRUNC(SUM(I49:I54),2)</f>
        <v>450.37</v>
      </c>
      <c r="J55" s="746">
        <f t="shared" si="8"/>
        <v>450.37</v>
      </c>
    </row>
    <row r="56" spans="1:10" s="184" customFormat="1" ht="20.100000000000001" customHeight="1">
      <c r="A56" s="1022"/>
      <c r="B56" s="1022"/>
      <c r="C56" s="1022"/>
      <c r="D56" s="1022"/>
      <c r="E56" s="1022"/>
      <c r="F56" s="1022"/>
      <c r="G56" s="1022"/>
      <c r="H56" s="1022"/>
      <c r="I56" s="1022"/>
      <c r="J56" s="747"/>
    </row>
    <row r="57" spans="1:10" s="184" customFormat="1" ht="20.100000000000001" customHeight="1">
      <c r="A57" s="980" t="s">
        <v>285</v>
      </c>
      <c r="B57" s="980"/>
      <c r="C57" s="980"/>
      <c r="D57" s="980"/>
      <c r="E57" s="980"/>
      <c r="F57" s="980"/>
      <c r="G57" s="980"/>
      <c r="H57" s="980"/>
      <c r="I57" s="980"/>
      <c r="J57" s="981"/>
    </row>
    <row r="58" spans="1:10" s="184" customFormat="1" ht="20.100000000000001" customHeight="1">
      <c r="A58" s="253">
        <v>2</v>
      </c>
      <c r="B58" s="1019" t="s">
        <v>284</v>
      </c>
      <c r="C58" s="1019"/>
      <c r="D58" s="1019"/>
      <c r="E58" s="1019"/>
      <c r="F58" s="1019"/>
      <c r="G58" s="1019"/>
      <c r="H58" s="253" t="s">
        <v>59</v>
      </c>
      <c r="I58" s="762" t="s">
        <v>60</v>
      </c>
      <c r="J58" s="763" t="s">
        <v>60</v>
      </c>
    </row>
    <row r="59" spans="1:10" s="184" customFormat="1" ht="20.100000000000001" customHeight="1">
      <c r="A59" s="217" t="s">
        <v>8</v>
      </c>
      <c r="B59" s="1020" t="s">
        <v>283</v>
      </c>
      <c r="C59" s="1020"/>
      <c r="D59" s="1020"/>
      <c r="E59" s="1020"/>
      <c r="F59" s="1020"/>
      <c r="G59" s="1020"/>
      <c r="H59" s="434">
        <f>H33</f>
        <v>0.1130952380952381</v>
      </c>
      <c r="I59" s="442">
        <f t="shared" ref="I59:J59" si="9">I35</f>
        <v>215.31</v>
      </c>
      <c r="J59" s="442">
        <f t="shared" si="9"/>
        <v>223.37</v>
      </c>
    </row>
    <row r="60" spans="1:10" s="184" customFormat="1" ht="20.100000000000001" customHeight="1">
      <c r="A60" s="217" t="s">
        <v>282</v>
      </c>
      <c r="B60" s="1020" t="s">
        <v>281</v>
      </c>
      <c r="C60" s="1020"/>
      <c r="D60" s="1020"/>
      <c r="E60" s="1020"/>
      <c r="F60" s="1020"/>
      <c r="G60" s="1020"/>
      <c r="H60" s="434">
        <f t="shared" ref="H60:J60" si="10">H46</f>
        <v>0.33800000000000002</v>
      </c>
      <c r="I60" s="442">
        <f t="shared" si="10"/>
        <v>480.91</v>
      </c>
      <c r="J60" s="442">
        <f t="shared" si="10"/>
        <v>498.89999999999992</v>
      </c>
    </row>
    <row r="61" spans="1:10" s="184" customFormat="1" ht="20.100000000000001" customHeight="1">
      <c r="A61" s="217" t="s">
        <v>280</v>
      </c>
      <c r="B61" s="1020" t="s">
        <v>279</v>
      </c>
      <c r="C61" s="1020"/>
      <c r="D61" s="1020"/>
      <c r="E61" s="1020"/>
      <c r="F61" s="1020"/>
      <c r="G61" s="1020"/>
      <c r="H61" s="440" t="s">
        <v>89</v>
      </c>
      <c r="I61" s="442">
        <f t="shared" ref="I61:J61" si="11">I55</f>
        <v>450.37</v>
      </c>
      <c r="J61" s="442">
        <f t="shared" si="11"/>
        <v>450.37</v>
      </c>
    </row>
    <row r="62" spans="1:10" s="184" customFormat="1" ht="21" customHeight="1">
      <c r="A62" s="1021" t="s">
        <v>84</v>
      </c>
      <c r="B62" s="1021"/>
      <c r="C62" s="1021"/>
      <c r="D62" s="1021"/>
      <c r="E62" s="1021"/>
      <c r="F62" s="1021"/>
      <c r="G62" s="1021"/>
      <c r="H62" s="434">
        <f>H59+H60</f>
        <v>0.4510952380952381</v>
      </c>
      <c r="I62" s="442">
        <f t="shared" ref="I62:J62" si="12">SUM(I59:I61)</f>
        <v>1146.5900000000001</v>
      </c>
      <c r="J62" s="442">
        <f t="shared" si="12"/>
        <v>1172.6399999999999</v>
      </c>
    </row>
    <row r="63" spans="1:10" s="184" customFormat="1" ht="20.100000000000001" customHeight="1">
      <c r="A63" s="976" t="s">
        <v>278</v>
      </c>
      <c r="B63" s="976"/>
      <c r="C63" s="976"/>
      <c r="D63" s="976"/>
      <c r="E63" s="976"/>
      <c r="F63" s="976"/>
      <c r="G63" s="976"/>
      <c r="H63" s="976"/>
      <c r="I63" s="977"/>
      <c r="J63" s="978"/>
    </row>
    <row r="64" spans="1:10" s="184" customFormat="1" ht="20.100000000000001" customHeight="1">
      <c r="A64" s="250">
        <v>3</v>
      </c>
      <c r="B64" s="985" t="s">
        <v>86</v>
      </c>
      <c r="C64" s="985"/>
      <c r="D64" s="985"/>
      <c r="E64" s="985"/>
      <c r="F64" s="985"/>
      <c r="G64" s="985"/>
      <c r="H64" s="985"/>
      <c r="I64" s="404" t="s">
        <v>60</v>
      </c>
      <c r="J64" s="480" t="s">
        <v>60</v>
      </c>
    </row>
    <row r="65" spans="1:11" s="184" customFormat="1" ht="20.100000000000001" customHeight="1">
      <c r="A65" s="213" t="s">
        <v>38</v>
      </c>
      <c r="B65" s="988" t="s">
        <v>661</v>
      </c>
      <c r="C65" s="988"/>
      <c r="D65" s="988"/>
      <c r="E65" s="988"/>
      <c r="F65" s="988"/>
      <c r="G65" s="988"/>
      <c r="H65" s="409">
        <v>0</v>
      </c>
      <c r="I65" s="406">
        <f>ROUND($I$27*H65,2)</f>
        <v>0</v>
      </c>
      <c r="J65" s="481">
        <f>ROUND($J$27*H65,2)</f>
        <v>0</v>
      </c>
    </row>
    <row r="66" spans="1:11" s="184" customFormat="1" ht="21.6" customHeight="1">
      <c r="A66" s="213" t="s">
        <v>40</v>
      </c>
      <c r="B66" s="988" t="s">
        <v>87</v>
      </c>
      <c r="C66" s="988"/>
      <c r="D66" s="988"/>
      <c r="E66" s="988"/>
      <c r="F66" s="988"/>
      <c r="G66" s="988"/>
      <c r="H66" s="434">
        <f>H45*H65</f>
        <v>0</v>
      </c>
      <c r="I66" s="406">
        <f t="shared" ref="I66:J66" si="13">ROUND($H$45*I65,2)</f>
        <v>0</v>
      </c>
      <c r="J66" s="481">
        <f t="shared" si="13"/>
        <v>0</v>
      </c>
    </row>
    <row r="67" spans="1:11" s="184" customFormat="1" ht="21.6" customHeight="1">
      <c r="A67" s="213" t="s">
        <v>42</v>
      </c>
      <c r="B67" s="1011" t="s">
        <v>372</v>
      </c>
      <c r="C67" s="1011"/>
      <c r="D67" s="1011"/>
      <c r="E67" s="1011"/>
      <c r="F67" s="1011"/>
      <c r="G67" s="1011"/>
      <c r="H67" s="435">
        <f>((8%*50%)*90%)*((1+5/56+5/56+5/168))</f>
        <v>4.3499999999999997E-2</v>
      </c>
      <c r="I67" s="406">
        <f>ROUND($I$27*H67,2)</f>
        <v>61.89</v>
      </c>
      <c r="J67" s="481">
        <f>ROUND($J$27*H67,2)</f>
        <v>64.209999999999994</v>
      </c>
    </row>
    <row r="68" spans="1:11" s="184" customFormat="1" ht="19.2" customHeight="1">
      <c r="A68" s="213" t="s">
        <v>44</v>
      </c>
      <c r="B68" s="1011" t="s">
        <v>333</v>
      </c>
      <c r="C68" s="1011"/>
      <c r="D68" s="1011"/>
      <c r="E68" s="1011"/>
      <c r="F68" s="1011"/>
      <c r="G68" s="1011"/>
      <c r="H68" s="435">
        <v>1.9400000000000001E-2</v>
      </c>
      <c r="I68" s="406">
        <f>ROUND($I$27*H68,2)</f>
        <v>27.6</v>
      </c>
      <c r="J68" s="481">
        <f>ROUND($J$27*H68,2)</f>
        <v>28.64</v>
      </c>
    </row>
    <row r="69" spans="1:11" s="184" customFormat="1" ht="28.2" customHeight="1">
      <c r="A69" s="213" t="s">
        <v>27</v>
      </c>
      <c r="B69" s="1011" t="s">
        <v>277</v>
      </c>
      <c r="C69" s="1011"/>
      <c r="D69" s="1011"/>
      <c r="E69" s="1011"/>
      <c r="F69" s="1011"/>
      <c r="G69" s="1011"/>
      <c r="H69" s="434">
        <f>H46*H68</f>
        <v>6.5572000000000009E-3</v>
      </c>
      <c r="I69" s="406">
        <f t="shared" ref="I69:J69" si="14">ROUND($H$46*I68,2)</f>
        <v>9.33</v>
      </c>
      <c r="J69" s="481">
        <f t="shared" si="14"/>
        <v>9.68</v>
      </c>
    </row>
    <row r="70" spans="1:11" s="184" customFormat="1" ht="22.2" customHeight="1">
      <c r="A70" s="213" t="s">
        <v>67</v>
      </c>
      <c r="B70" s="1011" t="s">
        <v>371</v>
      </c>
      <c r="C70" s="1011"/>
      <c r="D70" s="1011"/>
      <c r="E70" s="1011"/>
      <c r="F70" s="1011"/>
      <c r="G70" s="1011"/>
      <c r="H70" s="435">
        <f>((1*50%*8%*H68)+0.572%)</f>
        <v>6.4959999999999992E-3</v>
      </c>
      <c r="I70" s="406">
        <f>ROUND($I$27*H70,2)</f>
        <v>9.24</v>
      </c>
      <c r="J70" s="481">
        <f>ROUND($J$27*H70,2)</f>
        <v>9.59</v>
      </c>
    </row>
    <row r="71" spans="1:11" s="184" customFormat="1" ht="20.25" customHeight="1">
      <c r="A71" s="1001" t="s">
        <v>84</v>
      </c>
      <c r="B71" s="1001"/>
      <c r="C71" s="1001"/>
      <c r="D71" s="1001"/>
      <c r="E71" s="1001"/>
      <c r="F71" s="1001"/>
      <c r="G71" s="1001"/>
      <c r="H71" s="398">
        <f t="shared" ref="H71:I71" si="15">SUM(H65:H70)</f>
        <v>7.5953199999999998E-2</v>
      </c>
      <c r="I71" s="407">
        <f t="shared" si="15"/>
        <v>108.06</v>
      </c>
      <c r="J71" s="482">
        <f t="shared" ref="J71" si="16">SUM(J65:J70)</f>
        <v>112.12</v>
      </c>
    </row>
    <row r="72" spans="1:11" s="184" customFormat="1" ht="20.100000000000001" customHeight="1">
      <c r="A72" s="976" t="s">
        <v>271</v>
      </c>
      <c r="B72" s="976"/>
      <c r="C72" s="976"/>
      <c r="D72" s="976"/>
      <c r="E72" s="976"/>
      <c r="F72" s="976"/>
      <c r="G72" s="976"/>
      <c r="H72" s="976"/>
      <c r="I72" s="977"/>
      <c r="J72" s="978"/>
    </row>
    <row r="73" spans="1:11" s="184" customFormat="1" ht="20.100000000000001" customHeight="1">
      <c r="A73" s="250" t="s">
        <v>77</v>
      </c>
      <c r="B73" s="985" t="s">
        <v>627</v>
      </c>
      <c r="C73" s="985"/>
      <c r="D73" s="985"/>
      <c r="E73" s="985"/>
      <c r="F73" s="985"/>
      <c r="G73" s="985"/>
      <c r="H73" s="985"/>
      <c r="I73" s="404" t="s">
        <v>60</v>
      </c>
      <c r="J73" s="480" t="s">
        <v>60</v>
      </c>
      <c r="K73"/>
    </row>
    <row r="74" spans="1:11" s="184" customFormat="1" ht="25.2" customHeight="1">
      <c r="A74" s="213" t="s">
        <v>38</v>
      </c>
      <c r="B74" s="1012" t="s">
        <v>660</v>
      </c>
      <c r="C74" s="1013"/>
      <c r="D74" s="1013"/>
      <c r="E74" s="1013"/>
      <c r="F74" s="1013"/>
      <c r="G74" s="1014"/>
      <c r="H74" s="796">
        <v>9.1200000000000003E-2</v>
      </c>
      <c r="I74" s="406">
        <f t="shared" ref="I74:I80" si="17">ROUND($I$27*H74,2)</f>
        <v>129.76</v>
      </c>
      <c r="J74" s="481">
        <f>ROUND($J$27*H74,2)</f>
        <v>134.62</v>
      </c>
      <c r="K74"/>
    </row>
    <row r="75" spans="1:11" s="184" customFormat="1" ht="20.100000000000001" customHeight="1">
      <c r="A75" s="213" t="s">
        <v>40</v>
      </c>
      <c r="B75" s="988" t="s">
        <v>628</v>
      </c>
      <c r="C75" s="988"/>
      <c r="D75" s="988"/>
      <c r="E75" s="988"/>
      <c r="F75" s="988"/>
      <c r="G75" s="988"/>
      <c r="H75" s="433">
        <v>0</v>
      </c>
      <c r="I75" s="406">
        <f t="shared" si="17"/>
        <v>0</v>
      </c>
      <c r="J75" s="481">
        <f t="shared" ref="J75:J80" si="18">ROUND($J$27*H75,2)</f>
        <v>0</v>
      </c>
    </row>
    <row r="76" spans="1:11" s="184" customFormat="1" ht="20.100000000000001" customHeight="1">
      <c r="A76" s="213" t="s">
        <v>42</v>
      </c>
      <c r="B76" s="988" t="s">
        <v>629</v>
      </c>
      <c r="C76" s="988"/>
      <c r="D76" s="988"/>
      <c r="E76" s="988"/>
      <c r="F76" s="988"/>
      <c r="G76" s="988"/>
      <c r="H76" s="433">
        <v>0</v>
      </c>
      <c r="I76" s="406">
        <f t="shared" si="17"/>
        <v>0</v>
      </c>
      <c r="J76" s="481">
        <f t="shared" si="18"/>
        <v>0</v>
      </c>
    </row>
    <row r="77" spans="1:11" s="184" customFormat="1" ht="20.100000000000001" customHeight="1">
      <c r="A77" s="213" t="s">
        <v>44</v>
      </c>
      <c r="B77" s="988" t="s">
        <v>630</v>
      </c>
      <c r="C77" s="988"/>
      <c r="D77" s="988"/>
      <c r="E77" s="988"/>
      <c r="F77" s="988"/>
      <c r="G77" s="988"/>
      <c r="H77" s="433">
        <v>0</v>
      </c>
      <c r="I77" s="406">
        <f t="shared" si="17"/>
        <v>0</v>
      </c>
      <c r="J77" s="481">
        <f t="shared" si="18"/>
        <v>0</v>
      </c>
    </row>
    <row r="78" spans="1:11" s="184" customFormat="1" ht="22.5" customHeight="1">
      <c r="A78" s="213" t="s">
        <v>27</v>
      </c>
      <c r="B78" s="988" t="s">
        <v>631</v>
      </c>
      <c r="C78" s="988"/>
      <c r="D78" s="988"/>
      <c r="E78" s="988"/>
      <c r="F78" s="988"/>
      <c r="G78" s="988"/>
      <c r="H78" s="433">
        <v>0</v>
      </c>
      <c r="I78" s="406">
        <f t="shared" si="17"/>
        <v>0</v>
      </c>
      <c r="J78" s="481">
        <f t="shared" si="18"/>
        <v>0</v>
      </c>
    </row>
    <row r="79" spans="1:11" s="184" customFormat="1" ht="20.100000000000001" customHeight="1">
      <c r="A79" s="224" t="s">
        <v>67</v>
      </c>
      <c r="B79" s="988" t="s">
        <v>632</v>
      </c>
      <c r="C79" s="988"/>
      <c r="D79" s="988"/>
      <c r="E79" s="988"/>
      <c r="F79" s="988"/>
      <c r="G79" s="988"/>
      <c r="H79" s="433">
        <v>0</v>
      </c>
      <c r="I79" s="406">
        <f t="shared" si="17"/>
        <v>0</v>
      </c>
      <c r="J79" s="481">
        <f t="shared" si="18"/>
        <v>0</v>
      </c>
    </row>
    <row r="80" spans="1:11" s="184" customFormat="1" ht="20.100000000000001" customHeight="1">
      <c r="A80" s="213" t="s">
        <v>82</v>
      </c>
      <c r="B80" s="988" t="s">
        <v>633</v>
      </c>
      <c r="C80" s="988"/>
      <c r="D80" s="988"/>
      <c r="E80" s="988"/>
      <c r="F80" s="988"/>
      <c r="G80" s="988"/>
      <c r="H80" s="433">
        <v>0</v>
      </c>
      <c r="I80" s="406">
        <f t="shared" si="17"/>
        <v>0</v>
      </c>
      <c r="J80" s="481">
        <f t="shared" si="18"/>
        <v>0</v>
      </c>
    </row>
    <row r="81" spans="1:10" s="184" customFormat="1" ht="20.100000000000001" customHeight="1">
      <c r="A81" s="1001" t="s">
        <v>85</v>
      </c>
      <c r="B81" s="1001"/>
      <c r="C81" s="1001"/>
      <c r="D81" s="1001"/>
      <c r="E81" s="1001"/>
      <c r="F81" s="1001"/>
      <c r="G81" s="1001"/>
      <c r="H81" s="398">
        <f t="shared" ref="H81" si="19">SUM(H74:H80)</f>
        <v>9.1200000000000003E-2</v>
      </c>
      <c r="I81" s="407">
        <f t="shared" ref="I81:J81" si="20">TRUNC(SUM(I74:I80),2)</f>
        <v>129.76</v>
      </c>
      <c r="J81" s="482">
        <f t="shared" si="20"/>
        <v>134.62</v>
      </c>
    </row>
    <row r="82" spans="1:10" s="184" customFormat="1" ht="20.100000000000001" customHeight="1">
      <c r="A82" s="224" t="s">
        <v>61</v>
      </c>
      <c r="B82" s="988" t="s">
        <v>276</v>
      </c>
      <c r="C82" s="988"/>
      <c r="D82" s="988"/>
      <c r="E82" s="988"/>
      <c r="F82" s="988"/>
      <c r="G82" s="988"/>
      <c r="H82" s="409">
        <f>H46*H81</f>
        <v>3.0825600000000002E-2</v>
      </c>
      <c r="I82" s="406">
        <f>ROUND(H46*I81,2)</f>
        <v>43.86</v>
      </c>
      <c r="J82" s="481">
        <f>ROUND(H46*J81,2)</f>
        <v>45.5</v>
      </c>
    </row>
    <row r="83" spans="1:10" s="184" customFormat="1" ht="20.100000000000001" customHeight="1">
      <c r="A83" s="1001" t="s">
        <v>84</v>
      </c>
      <c r="B83" s="1001"/>
      <c r="C83" s="1001"/>
      <c r="D83" s="1001"/>
      <c r="E83" s="1001"/>
      <c r="F83" s="1001"/>
      <c r="G83" s="1001"/>
      <c r="H83" s="398">
        <f>H81+H82</f>
        <v>0.12202560000000001</v>
      </c>
      <c r="I83" s="407">
        <f t="shared" ref="I83:J83" si="21">TRUNC(SUM(I81:I82),2)</f>
        <v>173.62</v>
      </c>
      <c r="J83" s="482">
        <f t="shared" si="21"/>
        <v>180.12</v>
      </c>
    </row>
    <row r="84" spans="1:10" s="184" customFormat="1" ht="18" customHeight="1">
      <c r="A84" s="976" t="s">
        <v>275</v>
      </c>
      <c r="B84" s="976"/>
      <c r="C84" s="976"/>
      <c r="D84" s="976"/>
      <c r="E84" s="976"/>
      <c r="F84" s="976"/>
      <c r="G84" s="976"/>
      <c r="H84" s="976"/>
      <c r="I84" s="977"/>
      <c r="J84" s="978"/>
    </row>
    <row r="85" spans="1:10" s="184" customFormat="1" ht="20.100000000000001" customHeight="1">
      <c r="A85" s="250">
        <v>5</v>
      </c>
      <c r="B85" s="985" t="s">
        <v>70</v>
      </c>
      <c r="C85" s="985"/>
      <c r="D85" s="985"/>
      <c r="E85" s="985"/>
      <c r="F85" s="985"/>
      <c r="G85" s="985"/>
      <c r="H85" s="985"/>
      <c r="I85" s="404" t="s">
        <v>60</v>
      </c>
      <c r="J85" s="480" t="s">
        <v>60</v>
      </c>
    </row>
    <row r="86" spans="1:10" s="184" customFormat="1" ht="20.100000000000001" customHeight="1">
      <c r="A86" s="213" t="s">
        <v>38</v>
      </c>
      <c r="B86" s="988" t="s">
        <v>71</v>
      </c>
      <c r="C86" s="988"/>
      <c r="D86" s="988"/>
      <c r="E86" s="988"/>
      <c r="F86" s="988"/>
      <c r="G86" s="988"/>
      <c r="H86" s="989"/>
      <c r="I86" s="406">
        <f>Uniforme!I20</f>
        <v>0</v>
      </c>
      <c r="J86" s="481">
        <f>Uniforme!I20</f>
        <v>0</v>
      </c>
    </row>
    <row r="87" spans="1:10" s="184" customFormat="1" ht="20.100000000000001" customHeight="1">
      <c r="A87" s="213" t="s">
        <v>40</v>
      </c>
      <c r="B87" s="988" t="s">
        <v>72</v>
      </c>
      <c r="C87" s="988"/>
      <c r="D87" s="988"/>
      <c r="E87" s="988"/>
      <c r="F87" s="988"/>
      <c r="G87" s="988"/>
      <c r="H87" s="989"/>
      <c r="I87" s="406">
        <f>'Mat. Limpeza'!L60</f>
        <v>517.75927536231882</v>
      </c>
      <c r="J87" s="481">
        <f>'Mat. Limpeza'!L60</f>
        <v>517.75927536231882</v>
      </c>
    </row>
    <row r="88" spans="1:10" s="184" customFormat="1" ht="20.100000000000001" customHeight="1">
      <c r="A88" s="213" t="s">
        <v>42</v>
      </c>
      <c r="B88" s="988" t="s">
        <v>73</v>
      </c>
      <c r="C88" s="988"/>
      <c r="D88" s="988"/>
      <c r="E88" s="988"/>
      <c r="F88" s="988"/>
      <c r="G88" s="988"/>
      <c r="H88" s="989"/>
      <c r="I88" s="406">
        <f>'Eq. Limpeza'!L34</f>
        <v>16.791807065217395</v>
      </c>
      <c r="J88" s="481">
        <f>'Eq. Limpeza'!L34</f>
        <v>16.791807065217395</v>
      </c>
    </row>
    <row r="89" spans="1:10" s="184" customFormat="1" ht="20.100000000000001" customHeight="1">
      <c r="A89" s="213" t="s">
        <v>44</v>
      </c>
      <c r="B89" s="988" t="s">
        <v>74</v>
      </c>
      <c r="C89" s="988"/>
      <c r="D89" s="988"/>
      <c r="E89" s="988"/>
      <c r="F89" s="988"/>
      <c r="G89" s="988"/>
      <c r="H89" s="989"/>
      <c r="I89" s="406"/>
      <c r="J89" s="481"/>
    </row>
    <row r="90" spans="1:10" s="184" customFormat="1" ht="20.100000000000001" customHeight="1">
      <c r="A90" s="1001" t="s">
        <v>75</v>
      </c>
      <c r="B90" s="1001"/>
      <c r="C90" s="1001"/>
      <c r="D90" s="1001"/>
      <c r="E90" s="1001"/>
      <c r="F90" s="1001"/>
      <c r="G90" s="1001"/>
      <c r="H90" s="1001"/>
      <c r="I90" s="406">
        <f t="shared" ref="I90:J90" si="22">TRUNC(SUM(I86:I89),2)</f>
        <v>534.54999999999995</v>
      </c>
      <c r="J90" s="481">
        <f t="shared" si="22"/>
        <v>534.54999999999995</v>
      </c>
    </row>
    <row r="91" spans="1:10" s="184" customFormat="1" ht="20.100000000000001" customHeight="1">
      <c r="A91" s="999" t="s">
        <v>76</v>
      </c>
      <c r="B91" s="999"/>
      <c r="C91" s="999"/>
      <c r="D91" s="999"/>
      <c r="E91" s="999"/>
      <c r="F91" s="999"/>
      <c r="G91" s="999"/>
      <c r="H91" s="999"/>
      <c r="I91" s="999"/>
      <c r="J91" s="485"/>
    </row>
    <row r="92" spans="1:10" s="184" customFormat="1" ht="20.100000000000001" customHeight="1">
      <c r="A92" s="976" t="s">
        <v>274</v>
      </c>
      <c r="B92" s="976"/>
      <c r="C92" s="976"/>
      <c r="D92" s="976"/>
      <c r="E92" s="976"/>
      <c r="F92" s="976"/>
      <c r="G92" s="976"/>
      <c r="H92" s="976"/>
      <c r="I92" s="976"/>
      <c r="J92" s="979"/>
    </row>
    <row r="93" spans="1:10" s="184" customFormat="1" ht="25.2" customHeight="1">
      <c r="A93" s="250">
        <v>6</v>
      </c>
      <c r="B93" s="985" t="s">
        <v>88</v>
      </c>
      <c r="C93" s="985"/>
      <c r="D93" s="985"/>
      <c r="E93" s="985"/>
      <c r="F93" s="985"/>
      <c r="G93" s="985"/>
      <c r="H93" s="250" t="s">
        <v>59</v>
      </c>
      <c r="I93" s="429" t="s">
        <v>60</v>
      </c>
      <c r="J93" s="486" t="s">
        <v>60</v>
      </c>
    </row>
    <row r="94" spans="1:10" s="184" customFormat="1" ht="22.95" customHeight="1">
      <c r="A94" s="213" t="s">
        <v>38</v>
      </c>
      <c r="B94" s="988" t="s">
        <v>90</v>
      </c>
      <c r="C94" s="988"/>
      <c r="D94" s="988"/>
      <c r="E94" s="988"/>
      <c r="F94" s="988"/>
      <c r="G94" s="988"/>
      <c r="H94" s="425">
        <v>0</v>
      </c>
      <c r="I94" s="406">
        <f>ROUND(H94*I111,2)</f>
        <v>0</v>
      </c>
      <c r="J94" s="481">
        <f>ROUND(H94*J111,2)</f>
        <v>0</v>
      </c>
    </row>
    <row r="95" spans="1:10" s="184" customFormat="1" ht="21" customHeight="1">
      <c r="A95" s="213" t="s">
        <v>40</v>
      </c>
      <c r="B95" s="988" t="s">
        <v>91</v>
      </c>
      <c r="C95" s="988"/>
      <c r="D95" s="988"/>
      <c r="E95" s="988"/>
      <c r="F95" s="988"/>
      <c r="G95" s="988"/>
      <c r="H95" s="425">
        <v>0</v>
      </c>
      <c r="I95" s="406">
        <f>ROUND((I111+I94)*H95,2)</f>
        <v>0</v>
      </c>
      <c r="J95" s="481">
        <f>ROUND((J111+J94)*H95,2)</f>
        <v>0</v>
      </c>
    </row>
    <row r="96" spans="1:10" s="184" customFormat="1" ht="23.25" customHeight="1">
      <c r="A96" s="955" t="s">
        <v>42</v>
      </c>
      <c r="B96" s="988" t="s">
        <v>92</v>
      </c>
      <c r="C96" s="988"/>
      <c r="D96" s="988"/>
      <c r="E96" s="988"/>
      <c r="F96" s="988"/>
      <c r="G96" s="988"/>
      <c r="H96" s="426">
        <f>SUM(H98:H101)</f>
        <v>0</v>
      </c>
      <c r="I96" s="406">
        <f t="shared" ref="I96:J96" si="23">TRUNC(SUM(I98:I101),2)</f>
        <v>0</v>
      </c>
      <c r="J96" s="481">
        <f t="shared" si="23"/>
        <v>0</v>
      </c>
    </row>
    <row r="97" spans="1:10" s="184" customFormat="1" ht="20.100000000000001" customHeight="1">
      <c r="A97" s="955"/>
      <c r="B97" s="988" t="s">
        <v>343</v>
      </c>
      <c r="C97" s="988"/>
      <c r="D97" s="988"/>
      <c r="E97" s="988"/>
      <c r="F97" s="988"/>
      <c r="G97" s="988"/>
      <c r="H97" s="427"/>
      <c r="I97" s="406"/>
      <c r="J97" s="481"/>
    </row>
    <row r="98" spans="1:10" s="184" customFormat="1" ht="27.75" customHeight="1">
      <c r="A98" s="955"/>
      <c r="B98" s="1000" t="s">
        <v>354</v>
      </c>
      <c r="C98" s="1000"/>
      <c r="D98" s="1000"/>
      <c r="E98" s="1000"/>
      <c r="F98" s="1000"/>
      <c r="G98" s="1000"/>
      <c r="H98" s="428">
        <v>0</v>
      </c>
      <c r="I98" s="406">
        <f>ROUND(I113*H98,2)</f>
        <v>0</v>
      </c>
      <c r="J98" s="481">
        <f>ROUND(J113*H98,2)</f>
        <v>0</v>
      </c>
    </row>
    <row r="99" spans="1:10" s="184" customFormat="1" ht="20.100000000000001" customHeight="1">
      <c r="A99" s="955"/>
      <c r="B99" s="1000" t="s">
        <v>353</v>
      </c>
      <c r="C99" s="1000"/>
      <c r="D99" s="1000"/>
      <c r="E99" s="1000"/>
      <c r="F99" s="1000"/>
      <c r="G99" s="1000"/>
      <c r="H99" s="428">
        <v>0</v>
      </c>
      <c r="I99" s="406">
        <f>ROUND(I113*H99,2)</f>
        <v>0</v>
      </c>
      <c r="J99" s="481">
        <f>ROUND(J113*H99,2)</f>
        <v>0</v>
      </c>
    </row>
    <row r="100" spans="1:10" s="184" customFormat="1" ht="20.100000000000001" customHeight="1">
      <c r="A100" s="1358"/>
      <c r="B100" s="988" t="s">
        <v>352</v>
      </c>
      <c r="C100" s="1000"/>
      <c r="D100" s="1000"/>
      <c r="E100" s="1000"/>
      <c r="F100" s="1000"/>
      <c r="G100" s="1000"/>
      <c r="H100" s="428">
        <v>0</v>
      </c>
      <c r="I100" s="406">
        <f>ROUND(I113*H100,2)</f>
        <v>0</v>
      </c>
      <c r="J100" s="481">
        <f>ROUND(J113*H100,2)</f>
        <v>0</v>
      </c>
    </row>
    <row r="101" spans="1:10" s="184" customFormat="1" ht="20.100000000000001" customHeight="1">
      <c r="A101" s="955"/>
      <c r="B101" s="988" t="s">
        <v>675</v>
      </c>
      <c r="C101" s="1000"/>
      <c r="D101" s="1000"/>
      <c r="E101" s="1000"/>
      <c r="F101" s="1000"/>
      <c r="G101" s="1000"/>
      <c r="H101" s="428">
        <v>0</v>
      </c>
      <c r="I101" s="406">
        <f>ROUND(I113*H101,2)</f>
        <v>0</v>
      </c>
      <c r="J101" s="481">
        <f>ROUND(J113*H101,2)</f>
        <v>0</v>
      </c>
    </row>
    <row r="102" spans="1:10" s="184" customFormat="1" ht="16.5" customHeight="1">
      <c r="A102" s="1007" t="s">
        <v>344</v>
      </c>
      <c r="B102" s="1356"/>
      <c r="C102" s="1356"/>
      <c r="D102" s="1356"/>
      <c r="E102" s="1356"/>
      <c r="F102" s="1356"/>
      <c r="G102" s="1356"/>
      <c r="H102" s="1357"/>
      <c r="I102" s="407">
        <f t="shared" ref="I102:J102" si="24">TRUNC(SUM(I94:I96),2)</f>
        <v>0</v>
      </c>
      <c r="J102" s="482">
        <f t="shared" si="24"/>
        <v>0</v>
      </c>
    </row>
    <row r="103" spans="1:10" s="184" customFormat="1" ht="20.100000000000001" customHeight="1">
      <c r="A103" s="1353"/>
      <c r="B103" s="1354"/>
      <c r="C103" s="1354"/>
      <c r="D103" s="1354"/>
      <c r="E103" s="1354"/>
      <c r="F103" s="1354"/>
      <c r="G103" s="1354"/>
      <c r="H103" s="1354"/>
      <c r="I103" s="1355"/>
      <c r="J103" s="487"/>
    </row>
    <row r="104" spans="1:10" s="184" customFormat="1" ht="20.100000000000001" customHeight="1">
      <c r="A104" s="1009" t="s">
        <v>218</v>
      </c>
      <c r="B104" s="1352"/>
      <c r="C104" s="1352"/>
      <c r="D104" s="1352"/>
      <c r="E104" s="1352"/>
      <c r="F104" s="1352"/>
      <c r="G104" s="1352"/>
      <c r="H104" s="1352"/>
      <c r="I104" s="1352"/>
      <c r="J104" s="1352"/>
    </row>
    <row r="105" spans="1:10" s="184" customFormat="1" ht="22.2" customHeight="1">
      <c r="A105" s="1096" t="s">
        <v>93</v>
      </c>
      <c r="B105" s="1350"/>
      <c r="C105" s="1350"/>
      <c r="D105" s="1350"/>
      <c r="E105" s="1350"/>
      <c r="F105" s="1350"/>
      <c r="G105" s="1350"/>
      <c r="H105" s="1351"/>
      <c r="I105" s="404" t="s">
        <v>60</v>
      </c>
      <c r="J105" s="480" t="s">
        <v>60</v>
      </c>
    </row>
    <row r="106" spans="1:10" s="184" customFormat="1" ht="20.100000000000001" customHeight="1">
      <c r="A106" s="192" t="s">
        <v>38</v>
      </c>
      <c r="B106" s="989" t="s">
        <v>94</v>
      </c>
      <c r="C106" s="971"/>
      <c r="D106" s="971"/>
      <c r="E106" s="971"/>
      <c r="F106" s="971"/>
      <c r="G106" s="971"/>
      <c r="H106" s="1347"/>
      <c r="I106" s="406">
        <f t="shared" ref="I106:J106" si="25">I27</f>
        <v>1422.8</v>
      </c>
      <c r="J106" s="481">
        <f t="shared" si="25"/>
        <v>1476.06</v>
      </c>
    </row>
    <row r="107" spans="1:10" s="184" customFormat="1" ht="20.100000000000001" customHeight="1">
      <c r="A107" s="192" t="s">
        <v>40</v>
      </c>
      <c r="B107" s="989" t="s">
        <v>273</v>
      </c>
      <c r="C107" s="971"/>
      <c r="D107" s="971"/>
      <c r="E107" s="971"/>
      <c r="F107" s="971"/>
      <c r="G107" s="971"/>
      <c r="H107" s="1347"/>
      <c r="I107" s="406">
        <f t="shared" ref="I107:J107" si="26">I62</f>
        <v>1146.5900000000001</v>
      </c>
      <c r="J107" s="481">
        <f t="shared" si="26"/>
        <v>1172.6399999999999</v>
      </c>
    </row>
    <row r="108" spans="1:10" s="184" customFormat="1" ht="20.100000000000001" customHeight="1">
      <c r="A108" s="192" t="s">
        <v>42</v>
      </c>
      <c r="B108" s="989" t="s">
        <v>272</v>
      </c>
      <c r="C108" s="971"/>
      <c r="D108" s="971"/>
      <c r="E108" s="971"/>
      <c r="F108" s="971"/>
      <c r="G108" s="971"/>
      <c r="H108" s="1347"/>
      <c r="I108" s="406">
        <f t="shared" ref="I108:J108" si="27">I71</f>
        <v>108.06</v>
      </c>
      <c r="J108" s="481">
        <f t="shared" si="27"/>
        <v>112.12</v>
      </c>
    </row>
    <row r="109" spans="1:10" s="184" customFormat="1" ht="20.100000000000001" customHeight="1">
      <c r="A109" s="192" t="s">
        <v>44</v>
      </c>
      <c r="B109" s="989" t="s">
        <v>271</v>
      </c>
      <c r="C109" s="971"/>
      <c r="D109" s="971"/>
      <c r="E109" s="971"/>
      <c r="F109" s="971"/>
      <c r="G109" s="971"/>
      <c r="H109" s="1347"/>
      <c r="I109" s="406">
        <f t="shared" ref="I109:J109" si="28">I83</f>
        <v>173.62</v>
      </c>
      <c r="J109" s="481">
        <f t="shared" si="28"/>
        <v>180.12</v>
      </c>
    </row>
    <row r="110" spans="1:10" s="184" customFormat="1" ht="20.100000000000001" customHeight="1">
      <c r="A110" s="192" t="s">
        <v>27</v>
      </c>
      <c r="B110" s="989" t="s">
        <v>270</v>
      </c>
      <c r="C110" s="971"/>
      <c r="D110" s="971"/>
      <c r="E110" s="971"/>
      <c r="F110" s="971"/>
      <c r="G110" s="971"/>
      <c r="H110" s="1347"/>
      <c r="I110" s="406">
        <f t="shared" ref="I110:J110" si="29">I90</f>
        <v>534.54999999999995</v>
      </c>
      <c r="J110" s="481">
        <f t="shared" si="29"/>
        <v>534.54999999999995</v>
      </c>
    </row>
    <row r="111" spans="1:10" s="184" customFormat="1" ht="20.100000000000001" customHeight="1">
      <c r="A111" s="1003" t="s">
        <v>342</v>
      </c>
      <c r="B111" s="1348"/>
      <c r="C111" s="1348"/>
      <c r="D111" s="1348"/>
      <c r="E111" s="1348"/>
      <c r="F111" s="1348"/>
      <c r="G111" s="1348"/>
      <c r="H111" s="1349"/>
      <c r="I111" s="407">
        <f t="shared" ref="I111:J111" si="30">TRUNC(SUM(I106:I110),2)</f>
        <v>3385.62</v>
      </c>
      <c r="J111" s="482">
        <f t="shared" si="30"/>
        <v>3475.49</v>
      </c>
    </row>
    <row r="112" spans="1:10" s="184" customFormat="1" ht="20.100000000000001" customHeight="1">
      <c r="A112" s="223" t="s">
        <v>67</v>
      </c>
      <c r="B112" s="989" t="s">
        <v>269</v>
      </c>
      <c r="C112" s="971"/>
      <c r="D112" s="971"/>
      <c r="E112" s="971"/>
      <c r="F112" s="971"/>
      <c r="G112" s="971"/>
      <c r="H112" s="1347"/>
      <c r="I112" s="406">
        <f t="shared" ref="I112:J112" si="31">I102</f>
        <v>0</v>
      </c>
      <c r="J112" s="481">
        <f t="shared" si="31"/>
        <v>0</v>
      </c>
    </row>
    <row r="113" spans="1:222" s="184" customFormat="1" ht="20.100000000000001" customHeight="1">
      <c r="A113" s="1005" t="s">
        <v>95</v>
      </c>
      <c r="B113" s="1345"/>
      <c r="C113" s="1345"/>
      <c r="D113" s="1345"/>
      <c r="E113" s="1345"/>
      <c r="F113" s="1345"/>
      <c r="G113" s="1345"/>
      <c r="H113" s="1346"/>
      <c r="I113" s="436">
        <f>TRUNC((I111+I94+I95)/(1-H96),2)</f>
        <v>3385.62</v>
      </c>
      <c r="J113" s="488">
        <f>TRUNC((J111+J94+J95)/(1-H96),2)</f>
        <v>3475.49</v>
      </c>
    </row>
    <row r="114" spans="1:222" ht="20.100000000000001" customHeight="1">
      <c r="A114" s="193"/>
      <c r="B114" s="193"/>
      <c r="C114" s="193"/>
      <c r="D114" s="193"/>
      <c r="E114" s="193"/>
      <c r="F114" s="193"/>
      <c r="G114" s="193"/>
      <c r="H114" s="194"/>
      <c r="I114" s="195"/>
      <c r="J114" s="195"/>
      <c r="K114"/>
      <c r="HD114" s="185"/>
      <c r="HE114" s="185"/>
      <c r="HF114" s="185"/>
      <c r="HG114" s="185"/>
      <c r="HH114" s="185"/>
      <c r="HI114" s="185"/>
      <c r="HJ114" s="185"/>
      <c r="HK114" s="185"/>
      <c r="HL114" s="185"/>
      <c r="HM114" s="185"/>
      <c r="HN114" s="185"/>
    </row>
    <row r="115" spans="1:222" ht="36.6" customHeight="1">
      <c r="A115" s="1010" t="s">
        <v>338</v>
      </c>
      <c r="B115" s="1344"/>
      <c r="C115" s="1344"/>
      <c r="D115" s="1344"/>
      <c r="E115" s="1344"/>
      <c r="F115" s="1344"/>
      <c r="G115" s="1344"/>
      <c r="H115" s="1344"/>
      <c r="I115" s="1344"/>
      <c r="J115" s="1344"/>
      <c r="HD115" s="185"/>
      <c r="HE115" s="185"/>
      <c r="HF115" s="185"/>
      <c r="HG115" s="185"/>
      <c r="HH115" s="185"/>
      <c r="HI115" s="185"/>
      <c r="HJ115" s="185"/>
      <c r="HK115" s="185"/>
      <c r="HL115" s="185"/>
      <c r="HM115" s="185"/>
      <c r="HN115" s="185"/>
    </row>
    <row r="116" spans="1:222" ht="22.95" customHeight="1">
      <c r="A116" s="212" t="s">
        <v>12</v>
      </c>
      <c r="B116" s="1006" t="s">
        <v>96</v>
      </c>
      <c r="C116" s="1006"/>
      <c r="D116" s="212" t="s">
        <v>349</v>
      </c>
      <c r="E116" s="212" t="s">
        <v>14</v>
      </c>
      <c r="F116" s="212" t="s">
        <v>350</v>
      </c>
      <c r="G116" s="212" t="s">
        <v>348</v>
      </c>
      <c r="H116" s="212" t="s">
        <v>351</v>
      </c>
      <c r="I116" s="423" t="s">
        <v>340</v>
      </c>
      <c r="J116" s="489" t="s">
        <v>615</v>
      </c>
      <c r="HD116" s="185"/>
      <c r="HE116" s="185"/>
      <c r="HF116" s="185"/>
      <c r="HG116" s="185"/>
      <c r="HH116" s="185"/>
      <c r="HI116" s="185"/>
      <c r="HJ116" s="185"/>
      <c r="HK116" s="185"/>
      <c r="HL116" s="185"/>
      <c r="HM116" s="185"/>
      <c r="HN116" s="185"/>
    </row>
    <row r="117" spans="1:222" ht="25.2" customHeight="1">
      <c r="A117" s="994" t="s">
        <v>19</v>
      </c>
      <c r="B117" s="992" t="s">
        <v>20</v>
      </c>
      <c r="C117" s="992"/>
      <c r="D117" s="234">
        <f>'Área Total'!D2+'Área Total'!D15</f>
        <v>2915.03</v>
      </c>
      <c r="E117" s="235">
        <v>800</v>
      </c>
      <c r="F117" s="236">
        <f t="shared" ref="F117:F126" si="32">1/E117</f>
        <v>1.25E-3</v>
      </c>
      <c r="G117" s="237">
        <f>I113</f>
        <v>3385.62</v>
      </c>
      <c r="H117" s="421">
        <f>ROUND((F117*G117),2)</f>
        <v>4.2300000000000004</v>
      </c>
      <c r="I117" s="424">
        <f>ROUND((H117*D117),2)</f>
        <v>12330.58</v>
      </c>
      <c r="J117" s="490">
        <f>I117*20</f>
        <v>246611.6</v>
      </c>
      <c r="HD117" s="185"/>
      <c r="HE117" s="185"/>
      <c r="HF117" s="185"/>
      <c r="HG117" s="185"/>
      <c r="HH117" s="185"/>
      <c r="HI117" s="185"/>
      <c r="HJ117" s="185"/>
      <c r="HK117" s="185"/>
      <c r="HL117" s="185"/>
      <c r="HM117" s="185"/>
      <c r="HN117" s="185"/>
    </row>
    <row r="118" spans="1:222" ht="25.2" customHeight="1">
      <c r="A118" s="995"/>
      <c r="B118" s="993" t="s">
        <v>453</v>
      </c>
      <c r="C118" s="993"/>
      <c r="D118" s="238">
        <f>'Área Total'!D16</f>
        <v>18.3</v>
      </c>
      <c r="E118" s="235">
        <v>200</v>
      </c>
      <c r="F118" s="239">
        <f t="shared" si="32"/>
        <v>5.0000000000000001E-3</v>
      </c>
      <c r="G118" s="237">
        <f>I113</f>
        <v>3385.62</v>
      </c>
      <c r="H118" s="421">
        <f>ROUND((F118*G118),2)</f>
        <v>16.93</v>
      </c>
      <c r="I118" s="424">
        <f>ROUND((H118*D118),2)</f>
        <v>309.82</v>
      </c>
      <c r="J118" s="490">
        <f>I118*20</f>
        <v>6196.4</v>
      </c>
      <c r="HD118" s="185"/>
      <c r="HE118" s="185"/>
      <c r="HF118" s="185"/>
      <c r="HG118" s="185"/>
      <c r="HH118" s="185"/>
      <c r="HI118" s="185"/>
      <c r="HJ118" s="185"/>
      <c r="HK118" s="185"/>
      <c r="HL118" s="185"/>
      <c r="HM118" s="185"/>
      <c r="HN118" s="185"/>
    </row>
    <row r="119" spans="1:222" ht="21.75" customHeight="1">
      <c r="A119" s="995"/>
      <c r="B119" s="975" t="s">
        <v>336</v>
      </c>
      <c r="C119" s="975"/>
      <c r="D119" s="245">
        <f>'Área Total'!D3</f>
        <v>117.78</v>
      </c>
      <c r="E119" s="246">
        <v>200</v>
      </c>
      <c r="F119" s="196">
        <f t="shared" si="32"/>
        <v>5.0000000000000001E-3</v>
      </c>
      <c r="G119" s="247">
        <f>J113</f>
        <v>3475.49</v>
      </c>
      <c r="H119" s="422">
        <f>ROUND((F119*G119),2)</f>
        <v>17.38</v>
      </c>
      <c r="I119" s="424">
        <f>ROUND((H119*D119),2)</f>
        <v>2047.02</v>
      </c>
      <c r="J119" s="490">
        <f t="shared" ref="J119:J127" si="33">I119*20</f>
        <v>40940.400000000001</v>
      </c>
      <c r="HD119" s="185"/>
      <c r="HE119" s="185"/>
      <c r="HF119" s="185"/>
      <c r="HG119" s="185"/>
      <c r="HH119" s="185"/>
      <c r="HI119" s="185"/>
      <c r="HJ119" s="185"/>
      <c r="HK119" s="185"/>
      <c r="HL119" s="185"/>
      <c r="HM119" s="185"/>
      <c r="HN119" s="185"/>
    </row>
    <row r="120" spans="1:222" ht="21.6" customHeight="1">
      <c r="A120" s="995"/>
      <c r="B120" s="992" t="s">
        <v>337</v>
      </c>
      <c r="C120" s="992"/>
      <c r="D120" s="238">
        <f>'Área Total'!D4</f>
        <v>212.21</v>
      </c>
      <c r="E120" s="239">
        <v>360</v>
      </c>
      <c r="F120" s="239">
        <f t="shared" si="32"/>
        <v>2.7777777777777779E-3</v>
      </c>
      <c r="G120" s="237">
        <f>I113</f>
        <v>3385.62</v>
      </c>
      <c r="H120" s="421">
        <f>ROUND((F120*G120),2)</f>
        <v>9.4</v>
      </c>
      <c r="I120" s="424">
        <f>ROUND((H120*D120),2)</f>
        <v>1994.77</v>
      </c>
      <c r="J120" s="490">
        <f t="shared" si="33"/>
        <v>39895.4</v>
      </c>
      <c r="HM120" s="185"/>
      <c r="HN120" s="185"/>
    </row>
    <row r="121" spans="1:222" ht="22.95" customHeight="1">
      <c r="A121" s="995"/>
      <c r="B121" s="992" t="s">
        <v>358</v>
      </c>
      <c r="C121" s="992"/>
      <c r="D121" s="238">
        <f>'Área Total'!D5</f>
        <v>149.32</v>
      </c>
      <c r="E121" s="235">
        <v>1000</v>
      </c>
      <c r="F121" s="240">
        <f t="shared" ref="F121" si="34">1/E121</f>
        <v>1E-3</v>
      </c>
      <c r="G121" s="237">
        <f>I113</f>
        <v>3385.62</v>
      </c>
      <c r="H121" s="421">
        <f>ROUND((F121*G121),2)</f>
        <v>3.39</v>
      </c>
      <c r="I121" s="424">
        <f>ROUND((H121*D121),2)</f>
        <v>506.19</v>
      </c>
      <c r="J121" s="490">
        <f t="shared" si="33"/>
        <v>10123.799999999999</v>
      </c>
      <c r="HD121" s="185"/>
      <c r="HE121" s="185"/>
      <c r="HF121" s="185"/>
      <c r="HG121" s="185"/>
      <c r="HH121" s="185"/>
      <c r="HI121" s="185"/>
      <c r="HJ121" s="185"/>
      <c r="HK121" s="185"/>
      <c r="HL121" s="185"/>
      <c r="HM121" s="185"/>
      <c r="HN121" s="185"/>
    </row>
    <row r="122" spans="1:222" ht="24" customHeight="1">
      <c r="A122" s="995"/>
      <c r="B122" s="992" t="s">
        <v>452</v>
      </c>
      <c r="C122" s="992"/>
      <c r="D122" s="238">
        <f>'Área Total'!D6</f>
        <v>50.75</v>
      </c>
      <c r="E122" s="235">
        <v>1500</v>
      </c>
      <c r="F122" s="239">
        <f t="shared" si="32"/>
        <v>6.6666666666666664E-4</v>
      </c>
      <c r="G122" s="237">
        <f>I113</f>
        <v>3385.62</v>
      </c>
      <c r="H122" s="421">
        <f>ROUND((F122*G122),2)</f>
        <v>2.2599999999999998</v>
      </c>
      <c r="I122" s="424">
        <f>ROUND((H122*D122),2)</f>
        <v>114.7</v>
      </c>
      <c r="J122" s="490">
        <f t="shared" si="33"/>
        <v>2294</v>
      </c>
    </row>
    <row r="123" spans="1:222" ht="34.950000000000003" customHeight="1">
      <c r="A123" s="994" t="s">
        <v>22</v>
      </c>
      <c r="B123" s="993" t="s">
        <v>97</v>
      </c>
      <c r="C123" s="993"/>
      <c r="D123" s="241">
        <f>'Área Total'!D7+'Área Total'!D9+'Área Total'!D10+'Área Total'!D17+'Área Total'!D18</f>
        <v>4857.45</v>
      </c>
      <c r="E123" s="235">
        <v>1800</v>
      </c>
      <c r="F123" s="239">
        <f t="shared" si="32"/>
        <v>5.5555555555555556E-4</v>
      </c>
      <c r="G123" s="237">
        <f>I113</f>
        <v>3385.62</v>
      </c>
      <c r="H123" s="421">
        <f>ROUND((F123*G123),2)</f>
        <v>1.88</v>
      </c>
      <c r="I123" s="424">
        <f>ROUND((H123*D123),2)</f>
        <v>9132.01</v>
      </c>
      <c r="J123" s="490">
        <f t="shared" si="33"/>
        <v>182640.2</v>
      </c>
    </row>
    <row r="124" spans="1:222" ht="31.2" customHeight="1">
      <c r="A124" s="995"/>
      <c r="B124" s="993" t="s">
        <v>24</v>
      </c>
      <c r="C124" s="993"/>
      <c r="D124" s="241">
        <f>'Área Total'!D11</f>
        <v>1260</v>
      </c>
      <c r="E124" s="235">
        <v>2700</v>
      </c>
      <c r="F124" s="239">
        <f t="shared" si="32"/>
        <v>3.7037037037037035E-4</v>
      </c>
      <c r="G124" s="237">
        <f>I113</f>
        <v>3385.62</v>
      </c>
      <c r="H124" s="421">
        <f>ROUND((F124*G124),2)</f>
        <v>1.25</v>
      </c>
      <c r="I124" s="424">
        <f>ROUND((H124*D124),2)</f>
        <v>1575</v>
      </c>
      <c r="J124" s="490">
        <f t="shared" si="33"/>
        <v>31500</v>
      </c>
    </row>
    <row r="125" spans="1:222" ht="34.950000000000003" customHeight="1">
      <c r="A125" s="995"/>
      <c r="B125" s="993" t="s">
        <v>25</v>
      </c>
      <c r="C125" s="993"/>
      <c r="D125" s="241">
        <f>'Área Total'!D8</f>
        <v>14581.2</v>
      </c>
      <c r="E125" s="235">
        <v>6000</v>
      </c>
      <c r="F125" s="239">
        <f t="shared" si="32"/>
        <v>1.6666666666666666E-4</v>
      </c>
      <c r="G125" s="237">
        <f>I113</f>
        <v>3385.62</v>
      </c>
      <c r="H125" s="421">
        <f>ROUND((F125*G125),2)</f>
        <v>0.56000000000000005</v>
      </c>
      <c r="I125" s="424">
        <f>ROUND((H125*D125),2)</f>
        <v>8165.47</v>
      </c>
      <c r="J125" s="490">
        <f t="shared" si="33"/>
        <v>163309.4</v>
      </c>
    </row>
    <row r="126" spans="1:222" ht="31.95" customHeight="1">
      <c r="A126" s="996"/>
      <c r="B126" s="993" t="s">
        <v>26</v>
      </c>
      <c r="C126" s="993"/>
      <c r="D126" s="241">
        <f>'Área Total'!D12</f>
        <v>456.08</v>
      </c>
      <c r="E126" s="235">
        <v>100000</v>
      </c>
      <c r="F126" s="239">
        <f t="shared" si="32"/>
        <v>1.0000000000000001E-5</v>
      </c>
      <c r="G126" s="237">
        <f>I113</f>
        <v>3385.62</v>
      </c>
      <c r="H126" s="421">
        <f>ROUND((F126*G126),2)</f>
        <v>0.03</v>
      </c>
      <c r="I126" s="424">
        <f>ROUND((H126*D126),2)</f>
        <v>13.68</v>
      </c>
      <c r="J126" s="490">
        <f t="shared" si="33"/>
        <v>273.60000000000002</v>
      </c>
    </row>
    <row r="127" spans="1:222" ht="28.2" customHeight="1">
      <c r="A127" s="242" t="s">
        <v>27</v>
      </c>
      <c r="B127" s="993" t="s">
        <v>225</v>
      </c>
      <c r="C127" s="993"/>
      <c r="D127" s="243">
        <f>'Área Total'!D13+'Área Total'!D14+'Área Total'!D19+'Área Total'!D20</f>
        <v>965.92</v>
      </c>
      <c r="E127" s="235">
        <v>300</v>
      </c>
      <c r="F127" s="239">
        <f>(1/300)*16*(1/188.76)</f>
        <v>2.8254573709119167E-4</v>
      </c>
      <c r="G127" s="237">
        <f>I113</f>
        <v>3385.62</v>
      </c>
      <c r="H127" s="421">
        <f>ROUND((F127*G127),2)</f>
        <v>0.96</v>
      </c>
      <c r="I127" s="424">
        <f>ROUND((H127*D127),2)</f>
        <v>927.28</v>
      </c>
      <c r="J127" s="490">
        <f t="shared" si="33"/>
        <v>18545.599999999999</v>
      </c>
    </row>
    <row r="128" spans="1:222" ht="19.2" customHeight="1">
      <c r="A128" s="991"/>
      <c r="B128" s="991"/>
      <c r="C128" s="991"/>
      <c r="D128" s="689">
        <f>SUM(D117:D127)</f>
        <v>25584.04</v>
      </c>
      <c r="E128" s="687"/>
      <c r="F128" s="687"/>
      <c r="G128" s="687"/>
      <c r="H128" s="688"/>
      <c r="I128" s="700"/>
      <c r="J128" s="446"/>
    </row>
    <row r="129" spans="1:10">
      <c r="A129" s="1341" t="s">
        <v>339</v>
      </c>
      <c r="B129" s="1342"/>
      <c r="C129" s="1342"/>
      <c r="D129" s="1342"/>
      <c r="E129" s="1342"/>
      <c r="F129" s="1342"/>
      <c r="G129" s="1342"/>
      <c r="H129" s="1343"/>
      <c r="I129" s="705">
        <f>TRUNC(SUM(I117:I127),2)</f>
        <v>37116.519999999997</v>
      </c>
      <c r="J129" s="706">
        <f>SUM(J117:J127)</f>
        <v>742330.4</v>
      </c>
    </row>
    <row r="130" spans="1:10" ht="19.2" customHeight="1">
      <c r="J130" s="244"/>
    </row>
    <row r="131" spans="1:10" ht="20.399999999999999" customHeight="1">
      <c r="A131" s="962" t="s">
        <v>346</v>
      </c>
      <c r="B131" s="965"/>
      <c r="C131" s="965"/>
      <c r="D131" s="965"/>
      <c r="E131" s="965"/>
      <c r="F131" s="965"/>
      <c r="G131" s="965"/>
      <c r="H131" s="1340"/>
      <c r="I131" s="437">
        <f>I129-I119</f>
        <v>35069.5</v>
      </c>
      <c r="J131" s="491">
        <f>I131*20</f>
        <v>701390</v>
      </c>
    </row>
    <row r="132" spans="1:10">
      <c r="A132" s="962" t="s">
        <v>347</v>
      </c>
      <c r="B132" s="965"/>
      <c r="C132" s="965"/>
      <c r="D132" s="965"/>
      <c r="E132" s="965"/>
      <c r="F132" s="965"/>
      <c r="G132" s="965"/>
      <c r="H132" s="1340"/>
      <c r="I132" s="437">
        <f>I119</f>
        <v>2047.02</v>
      </c>
      <c r="J132" s="491">
        <f>I132*20</f>
        <v>40940.400000000001</v>
      </c>
    </row>
    <row r="133" spans="1:10">
      <c r="J133" s="218"/>
    </row>
  </sheetData>
  <mergeCells count="173">
    <mergeCell ref="B100:G100"/>
    <mergeCell ref="I15:J15"/>
    <mergeCell ref="I16:J16"/>
    <mergeCell ref="B22:G22"/>
    <mergeCell ref="I14:J14"/>
    <mergeCell ref="A20:H20"/>
    <mergeCell ref="B12:H12"/>
    <mergeCell ref="B13:H13"/>
    <mergeCell ref="B14:H14"/>
    <mergeCell ref="B15:H15"/>
    <mergeCell ref="B16:H16"/>
    <mergeCell ref="B17:H17"/>
    <mergeCell ref="B18:H18"/>
    <mergeCell ref="I13:J13"/>
    <mergeCell ref="I18:J18"/>
    <mergeCell ref="I17:J17"/>
    <mergeCell ref="I12:J12"/>
    <mergeCell ref="B37:G37"/>
    <mergeCell ref="B42:G42"/>
    <mergeCell ref="B43:G43"/>
    <mergeCell ref="B44:G44"/>
    <mergeCell ref="B45:G45"/>
    <mergeCell ref="A46:G46"/>
    <mergeCell ref="B48:H48"/>
    <mergeCell ref="A21:J21"/>
    <mergeCell ref="B25:G25"/>
    <mergeCell ref="A27:H27"/>
    <mergeCell ref="B23:H23"/>
    <mergeCell ref="B24:G24"/>
    <mergeCell ref="B26:H26"/>
    <mergeCell ref="B30:G30"/>
    <mergeCell ref="GH48:GO48"/>
    <mergeCell ref="GP48:GW48"/>
    <mergeCell ref="GX48:HE48"/>
    <mergeCell ref="FR48:FY48"/>
    <mergeCell ref="FZ48:GG48"/>
    <mergeCell ref="V48:AC48"/>
    <mergeCell ref="AD48:AK48"/>
    <mergeCell ref="AL48:AS48"/>
    <mergeCell ref="B31:G31"/>
    <mergeCell ref="B32:G32"/>
    <mergeCell ref="A33:G33"/>
    <mergeCell ref="B34:G34"/>
    <mergeCell ref="B38:G38"/>
    <mergeCell ref="B39:G39"/>
    <mergeCell ref="B40:G40"/>
    <mergeCell ref="B41:G41"/>
    <mergeCell ref="A35:G35"/>
    <mergeCell ref="EL48:ES48"/>
    <mergeCell ref="ET48:FA48"/>
    <mergeCell ref="FB48:FI48"/>
    <mergeCell ref="FJ48:FQ48"/>
    <mergeCell ref="BJ48:BQ48"/>
    <mergeCell ref="BR48:BY48"/>
    <mergeCell ref="BZ48:CG48"/>
    <mergeCell ref="CH48:CO48"/>
    <mergeCell ref="CP48:CW48"/>
    <mergeCell ref="CX48:DE48"/>
    <mergeCell ref="DF48:DM48"/>
    <mergeCell ref="DN48:DU48"/>
    <mergeCell ref="DV48:EC48"/>
    <mergeCell ref="ED48:EK48"/>
    <mergeCell ref="AT48:BA48"/>
    <mergeCell ref="BB48:BI48"/>
    <mergeCell ref="K48:O48"/>
    <mergeCell ref="B50:F50"/>
    <mergeCell ref="B58:G58"/>
    <mergeCell ref="B59:G59"/>
    <mergeCell ref="B60:G60"/>
    <mergeCell ref="B61:G61"/>
    <mergeCell ref="A62:G62"/>
    <mergeCell ref="B64:H64"/>
    <mergeCell ref="B65:G65"/>
    <mergeCell ref="A56:I56"/>
    <mergeCell ref="B52:H52"/>
    <mergeCell ref="B53:H53"/>
    <mergeCell ref="B54:H54"/>
    <mergeCell ref="B55:H55"/>
    <mergeCell ref="B49:E49"/>
    <mergeCell ref="B51:H51"/>
    <mergeCell ref="B69:G69"/>
    <mergeCell ref="B66:G66"/>
    <mergeCell ref="B67:G67"/>
    <mergeCell ref="B68:G68"/>
    <mergeCell ref="B77:G77"/>
    <mergeCell ref="B78:G78"/>
    <mergeCell ref="B79:G79"/>
    <mergeCell ref="B80:G80"/>
    <mergeCell ref="A81:G81"/>
    <mergeCell ref="B82:G82"/>
    <mergeCell ref="B70:G70"/>
    <mergeCell ref="A71:G71"/>
    <mergeCell ref="B73:H73"/>
    <mergeCell ref="A72:J72"/>
    <mergeCell ref="B74:G74"/>
    <mergeCell ref="B75:G75"/>
    <mergeCell ref="B76:G76"/>
    <mergeCell ref="A84:J84"/>
    <mergeCell ref="A83:G83"/>
    <mergeCell ref="B109:H109"/>
    <mergeCell ref="B110:H110"/>
    <mergeCell ref="A111:H111"/>
    <mergeCell ref="B112:H112"/>
    <mergeCell ref="A113:H113"/>
    <mergeCell ref="B116:C116"/>
    <mergeCell ref="A102:H102"/>
    <mergeCell ref="A104:J104"/>
    <mergeCell ref="A115:J115"/>
    <mergeCell ref="B108:H108"/>
    <mergeCell ref="B107:H107"/>
    <mergeCell ref="B106:H106"/>
    <mergeCell ref="A105:H105"/>
    <mergeCell ref="A103:I103"/>
    <mergeCell ref="B85:H85"/>
    <mergeCell ref="B86:H86"/>
    <mergeCell ref="B87:H87"/>
    <mergeCell ref="A91:I91"/>
    <mergeCell ref="B93:G93"/>
    <mergeCell ref="B94:G94"/>
    <mergeCell ref="B95:G95"/>
    <mergeCell ref="A96:A101"/>
    <mergeCell ref="B96:G96"/>
    <mergeCell ref="B97:G97"/>
    <mergeCell ref="B98:G98"/>
    <mergeCell ref="B99:G99"/>
    <mergeCell ref="B101:G101"/>
    <mergeCell ref="A90:H90"/>
    <mergeCell ref="A92:J92"/>
    <mergeCell ref="B123:C123"/>
    <mergeCell ref="B124:C124"/>
    <mergeCell ref="B125:C125"/>
    <mergeCell ref="B126:C126"/>
    <mergeCell ref="B127:C127"/>
    <mergeCell ref="B121:C121"/>
    <mergeCell ref="A117:A122"/>
    <mergeCell ref="A123:A126"/>
    <mergeCell ref="B117:C117"/>
    <mergeCell ref="B118:C118"/>
    <mergeCell ref="A131:H131"/>
    <mergeCell ref="A132:H132"/>
    <mergeCell ref="A3:J3"/>
    <mergeCell ref="B4:H4"/>
    <mergeCell ref="B5:H5"/>
    <mergeCell ref="B6:H6"/>
    <mergeCell ref="B7:H7"/>
    <mergeCell ref="A8:J8"/>
    <mergeCell ref="A9:F9"/>
    <mergeCell ref="A10:F10"/>
    <mergeCell ref="A11:J11"/>
    <mergeCell ref="B119:C119"/>
    <mergeCell ref="A28:J28"/>
    <mergeCell ref="A29:J29"/>
    <mergeCell ref="A57:J57"/>
    <mergeCell ref="A63:J63"/>
    <mergeCell ref="A36:J36"/>
    <mergeCell ref="A47:J47"/>
    <mergeCell ref="B88:H88"/>
    <mergeCell ref="B89:H89"/>
    <mergeCell ref="A129:H129"/>
    <mergeCell ref="A128:C128"/>
    <mergeCell ref="B120:C120"/>
    <mergeCell ref="B122:C122"/>
    <mergeCell ref="A1:H1"/>
    <mergeCell ref="A2:H2"/>
    <mergeCell ref="I1:J1"/>
    <mergeCell ref="I4:J4"/>
    <mergeCell ref="I5:J5"/>
    <mergeCell ref="G10:H10"/>
    <mergeCell ref="I10:J10"/>
    <mergeCell ref="I6:J6"/>
    <mergeCell ref="I7:J7"/>
    <mergeCell ref="G9:H9"/>
    <mergeCell ref="I9:J9"/>
  </mergeCells>
  <pageMargins left="0.23622047244094491" right="0.23622047244094491" top="0.74803149606299213" bottom="0.74803149606299213" header="0.31496062992125984" footer="0.31496062992125984"/>
  <pageSetup paperSize="9" scale="10" firstPageNumber="0" fitToHeight="0" orientation="landscape" r:id="rId1"/>
  <ignoredErrors>
    <ignoredError sqref="I82 H34:J34 I66:J69 J23 J13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N133"/>
  <sheetViews>
    <sheetView showGridLines="0" zoomScale="110" zoomScaleNormal="110" workbookViewId="0">
      <pane ySplit="2" topLeftCell="A90" activePane="bottomLeft" state="frozen"/>
      <selection pane="bottomLeft" activeCell="A101" sqref="A101:XFD101"/>
    </sheetView>
  </sheetViews>
  <sheetFormatPr defaultColWidth="8.88671875" defaultRowHeight="13.8"/>
  <cols>
    <col min="1" max="1" width="5.5546875" style="184" customWidth="1"/>
    <col min="2" max="2" width="8.88671875" style="184"/>
    <col min="3" max="3" width="10.88671875" style="184" customWidth="1"/>
    <col min="4" max="4" width="10.6640625" style="184" customWidth="1"/>
    <col min="5" max="5" width="7.109375" style="184" customWidth="1"/>
    <col min="6" max="6" width="11.5546875" style="184" customWidth="1"/>
    <col min="7" max="7" width="12.33203125" style="184" customWidth="1"/>
    <col min="8" max="8" width="12.6640625" style="201" customWidth="1"/>
    <col min="9" max="9" width="11.33203125" style="202" customWidth="1"/>
    <col min="10" max="10" width="11.6640625" style="202" customWidth="1"/>
    <col min="11" max="11" width="10.5546875" style="184" bestFit="1" customWidth="1"/>
    <col min="12" max="17" width="8.88671875" style="184"/>
    <col min="18" max="18" width="11.6640625" style="184" customWidth="1"/>
    <col min="19" max="222" width="8.88671875" style="184"/>
    <col min="223" max="16384" width="8.88671875" style="185"/>
  </cols>
  <sheetData>
    <row r="1" spans="1:10" s="184" customFormat="1" ht="30.75" customHeight="1">
      <c r="A1" s="947" t="s">
        <v>10</v>
      </c>
      <c r="B1" s="948"/>
      <c r="C1" s="948"/>
      <c r="D1" s="948"/>
      <c r="E1" s="948"/>
      <c r="F1" s="948"/>
      <c r="G1" s="948"/>
      <c r="H1" s="948"/>
      <c r="I1" s="1044" t="s">
        <v>296</v>
      </c>
      <c r="J1" s="1045"/>
    </row>
    <row r="2" spans="1:10" s="184" customFormat="1" ht="27.6" customHeight="1">
      <c r="A2" s="949" t="s">
        <v>345</v>
      </c>
      <c r="B2" s="950"/>
      <c r="C2" s="950"/>
      <c r="D2" s="950"/>
      <c r="E2" s="950"/>
      <c r="F2" s="950"/>
      <c r="G2" s="950"/>
      <c r="H2" s="950"/>
      <c r="I2" s="724" t="s">
        <v>589</v>
      </c>
      <c r="J2" s="725" t="s">
        <v>590</v>
      </c>
    </row>
    <row r="3" spans="1:10" s="184" customFormat="1" ht="20.100000000000001" customHeight="1">
      <c r="A3" s="966" t="s">
        <v>37</v>
      </c>
      <c r="B3" s="967"/>
      <c r="C3" s="967"/>
      <c r="D3" s="967"/>
      <c r="E3" s="967"/>
      <c r="F3" s="967"/>
      <c r="G3" s="967"/>
      <c r="H3" s="967"/>
      <c r="I3" s="968"/>
      <c r="J3" s="1046"/>
    </row>
    <row r="4" spans="1:10" s="184" customFormat="1" ht="20.100000000000001" customHeight="1">
      <c r="A4" s="392" t="s">
        <v>38</v>
      </c>
      <c r="B4" s="969" t="s">
        <v>39</v>
      </c>
      <c r="C4" s="970"/>
      <c r="D4" s="970"/>
      <c r="E4" s="970"/>
      <c r="F4" s="970"/>
      <c r="G4" s="970"/>
      <c r="H4" s="971"/>
      <c r="I4" s="953"/>
      <c r="J4" s="953"/>
    </row>
    <row r="5" spans="1:10" s="184" customFormat="1" ht="20.100000000000001" customHeight="1">
      <c r="A5" s="392" t="s">
        <v>40</v>
      </c>
      <c r="B5" s="969" t="s">
        <v>41</v>
      </c>
      <c r="C5" s="970"/>
      <c r="D5" s="970"/>
      <c r="E5" s="970"/>
      <c r="F5" s="970"/>
      <c r="G5" s="970"/>
      <c r="H5" s="971"/>
      <c r="I5" s="954" t="s">
        <v>361</v>
      </c>
      <c r="J5" s="954"/>
    </row>
    <row r="6" spans="1:10" s="184" customFormat="1" ht="20.100000000000001" customHeight="1">
      <c r="A6" s="392" t="s">
        <v>42</v>
      </c>
      <c r="B6" s="969" t="s">
        <v>43</v>
      </c>
      <c r="C6" s="970"/>
      <c r="D6" s="970"/>
      <c r="E6" s="970"/>
      <c r="F6" s="970"/>
      <c r="G6" s="970"/>
      <c r="H6" s="971"/>
      <c r="I6" s="954"/>
      <c r="J6" s="954"/>
    </row>
    <row r="7" spans="1:10" s="184" customFormat="1" ht="20.100000000000001" customHeight="1">
      <c r="A7" s="392" t="s">
        <v>44</v>
      </c>
      <c r="B7" s="969" t="s">
        <v>45</v>
      </c>
      <c r="C7" s="970"/>
      <c r="D7" s="970"/>
      <c r="E7" s="970"/>
      <c r="F7" s="970"/>
      <c r="G7" s="970"/>
      <c r="H7" s="971"/>
      <c r="I7" s="954">
        <v>20</v>
      </c>
      <c r="J7" s="954"/>
    </row>
    <row r="8" spans="1:10" s="184" customFormat="1" ht="34.950000000000003" customHeight="1">
      <c r="A8" s="972" t="s">
        <v>46</v>
      </c>
      <c r="B8" s="972"/>
      <c r="C8" s="972"/>
      <c r="D8" s="972"/>
      <c r="E8" s="972"/>
      <c r="F8" s="972"/>
      <c r="G8" s="972"/>
      <c r="H8" s="972"/>
      <c r="I8" s="973"/>
      <c r="J8" s="1047"/>
    </row>
    <row r="9" spans="1:10" s="184" customFormat="1" ht="39" customHeight="1">
      <c r="A9" s="958" t="s">
        <v>47</v>
      </c>
      <c r="B9" s="958"/>
      <c r="C9" s="958"/>
      <c r="D9" s="958"/>
      <c r="E9" s="958"/>
      <c r="F9" s="958"/>
      <c r="G9" s="958" t="s">
        <v>48</v>
      </c>
      <c r="H9" s="958"/>
      <c r="I9" s="959" t="s">
        <v>49</v>
      </c>
      <c r="J9" s="959"/>
    </row>
    <row r="10" spans="1:10" s="184" customFormat="1" ht="20.100000000000001" customHeight="1">
      <c r="A10" s="955" t="s">
        <v>50</v>
      </c>
      <c r="B10" s="955"/>
      <c r="C10" s="955"/>
      <c r="D10" s="955"/>
      <c r="E10" s="955"/>
      <c r="F10" s="955"/>
      <c r="G10" s="955" t="s">
        <v>327</v>
      </c>
      <c r="H10" s="955"/>
      <c r="I10" s="956" t="s">
        <v>591</v>
      </c>
      <c r="J10" s="1048"/>
    </row>
    <row r="11" spans="1:10" s="184" customFormat="1" ht="20.100000000000001" customHeight="1">
      <c r="A11" s="974" t="s">
        <v>51</v>
      </c>
      <c r="B11" s="974"/>
      <c r="C11" s="974"/>
      <c r="D11" s="974"/>
      <c r="E11" s="974"/>
      <c r="F11" s="974"/>
      <c r="G11" s="974"/>
      <c r="H11" s="974"/>
      <c r="I11" s="974"/>
      <c r="J11" s="1049"/>
    </row>
    <row r="12" spans="1:10" s="184" customFormat="1" ht="20.100000000000001" customHeight="1">
      <c r="A12" s="392">
        <v>1</v>
      </c>
      <c r="B12" s="969" t="s">
        <v>52</v>
      </c>
      <c r="C12" s="970"/>
      <c r="D12" s="970"/>
      <c r="E12" s="970"/>
      <c r="F12" s="970"/>
      <c r="G12" s="970"/>
      <c r="H12" s="971"/>
      <c r="I12" s="1038" t="s">
        <v>341</v>
      </c>
      <c r="J12" s="1038"/>
    </row>
    <row r="13" spans="1:10" s="184" customFormat="1" ht="20.100000000000001" customHeight="1">
      <c r="A13" s="392">
        <v>2</v>
      </c>
      <c r="B13" s="969" t="s">
        <v>293</v>
      </c>
      <c r="C13" s="970"/>
      <c r="D13" s="970"/>
      <c r="E13" s="970"/>
      <c r="F13" s="970"/>
      <c r="G13" s="970"/>
      <c r="H13" s="971"/>
      <c r="I13" s="1033" t="s">
        <v>295</v>
      </c>
      <c r="J13" s="1033"/>
    </row>
    <row r="14" spans="1:10" s="184" customFormat="1" ht="20.100000000000001" customHeight="1">
      <c r="A14" s="392">
        <v>3</v>
      </c>
      <c r="B14" s="969" t="s">
        <v>53</v>
      </c>
      <c r="C14" s="970"/>
      <c r="D14" s="970"/>
      <c r="E14" s="970"/>
      <c r="F14" s="970"/>
      <c r="G14" s="970"/>
      <c r="H14" s="971"/>
      <c r="I14" s="1033">
        <v>1094.46</v>
      </c>
      <c r="J14" s="1033"/>
    </row>
    <row r="15" spans="1:10" s="184" customFormat="1" ht="20.100000000000001" customHeight="1">
      <c r="A15" s="392">
        <v>4</v>
      </c>
      <c r="B15" s="969" t="s">
        <v>54</v>
      </c>
      <c r="C15" s="970"/>
      <c r="D15" s="970"/>
      <c r="E15" s="970"/>
      <c r="F15" s="970"/>
      <c r="G15" s="970"/>
      <c r="H15" s="971"/>
      <c r="I15" s="1029" t="s">
        <v>296</v>
      </c>
      <c r="J15" s="1029"/>
    </row>
    <row r="16" spans="1:10" s="184" customFormat="1" ht="20.100000000000001" customHeight="1">
      <c r="A16" s="392">
        <v>5</v>
      </c>
      <c r="B16" s="969" t="s">
        <v>55</v>
      </c>
      <c r="C16" s="970"/>
      <c r="D16" s="970"/>
      <c r="E16" s="970"/>
      <c r="F16" s="970"/>
      <c r="G16" s="970"/>
      <c r="H16" s="971"/>
      <c r="I16" s="1031">
        <v>43101</v>
      </c>
      <c r="J16" s="1031"/>
    </row>
    <row r="17" spans="1:11" s="184" customFormat="1" ht="20.100000000000001" customHeight="1">
      <c r="A17" s="392">
        <v>6</v>
      </c>
      <c r="B17" s="969" t="s">
        <v>56</v>
      </c>
      <c r="C17" s="970"/>
      <c r="D17" s="970"/>
      <c r="E17" s="970"/>
      <c r="F17" s="970"/>
      <c r="G17" s="970"/>
      <c r="H17" s="971"/>
      <c r="I17" s="1033">
        <v>954</v>
      </c>
      <c r="J17" s="1033"/>
    </row>
    <row r="18" spans="1:11" s="222" customFormat="1" ht="20.100000000000001" customHeight="1">
      <c r="A18" s="392">
        <v>7</v>
      </c>
      <c r="B18" s="969" t="s">
        <v>330</v>
      </c>
      <c r="C18" s="970"/>
      <c r="D18" s="970"/>
      <c r="E18" s="970"/>
      <c r="F18" s="970"/>
      <c r="G18" s="970"/>
      <c r="H18" s="971"/>
      <c r="I18" s="1036">
        <v>21</v>
      </c>
      <c r="J18" s="1036"/>
    </row>
    <row r="19" spans="1:11" s="184" customFormat="1" ht="19.95" customHeight="1">
      <c r="A19" s="219"/>
      <c r="B19" s="220"/>
      <c r="C19" s="220"/>
      <c r="D19" s="220"/>
      <c r="E19" s="220"/>
      <c r="F19" s="220"/>
      <c r="G19" s="220"/>
      <c r="H19" s="221"/>
      <c r="I19" s="221"/>
      <c r="J19" s="222"/>
    </row>
    <row r="20" spans="1:11" s="184" customFormat="1" ht="25.95" customHeight="1">
      <c r="A20" s="1035" t="s">
        <v>334</v>
      </c>
      <c r="B20" s="1035"/>
      <c r="C20" s="1035"/>
      <c r="D20" s="1035"/>
      <c r="E20" s="1035"/>
      <c r="F20" s="1035"/>
      <c r="G20" s="1035"/>
      <c r="H20" s="1035"/>
      <c r="I20" s="748" t="s">
        <v>404</v>
      </c>
      <c r="J20" s="750" t="s">
        <v>405</v>
      </c>
    </row>
    <row r="21" spans="1:11" s="184" customFormat="1" ht="20.100000000000001" customHeight="1">
      <c r="A21" s="976" t="s">
        <v>57</v>
      </c>
      <c r="B21" s="976"/>
      <c r="C21" s="976"/>
      <c r="D21" s="976"/>
      <c r="E21" s="976"/>
      <c r="F21" s="976"/>
      <c r="G21" s="976"/>
      <c r="H21" s="976"/>
      <c r="I21" s="1026"/>
      <c r="J21" s="1026"/>
    </row>
    <row r="22" spans="1:11" s="184" customFormat="1" ht="19.2" customHeight="1">
      <c r="A22" s="394">
        <v>1</v>
      </c>
      <c r="B22" s="985" t="s">
        <v>58</v>
      </c>
      <c r="C22" s="985"/>
      <c r="D22" s="985"/>
      <c r="E22" s="985"/>
      <c r="F22" s="985"/>
      <c r="G22" s="985"/>
      <c r="H22" s="416" t="s">
        <v>59</v>
      </c>
      <c r="I22" s="418" t="s">
        <v>60</v>
      </c>
      <c r="J22" s="418" t="s">
        <v>60</v>
      </c>
    </row>
    <row r="23" spans="1:11" s="184" customFormat="1" ht="20.399999999999999" customHeight="1">
      <c r="A23" s="392" t="s">
        <v>38</v>
      </c>
      <c r="B23" s="1011" t="s">
        <v>332</v>
      </c>
      <c r="C23" s="1011"/>
      <c r="D23" s="1011"/>
      <c r="E23" s="1011"/>
      <c r="F23" s="1011"/>
      <c r="G23" s="1011"/>
      <c r="H23" s="1012"/>
      <c r="I23" s="419">
        <f>I14</f>
        <v>1094.46</v>
      </c>
      <c r="J23" s="419">
        <f>I14</f>
        <v>1094.46</v>
      </c>
    </row>
    <row r="24" spans="1:11" s="184" customFormat="1" ht="20.399999999999999" customHeight="1">
      <c r="A24" s="392" t="s">
        <v>40</v>
      </c>
      <c r="B24" s="1028" t="s">
        <v>292</v>
      </c>
      <c r="C24" s="1028"/>
      <c r="D24" s="1028"/>
      <c r="E24" s="1028"/>
      <c r="F24" s="1028"/>
      <c r="G24" s="1028"/>
      <c r="H24" s="417">
        <v>0.3</v>
      </c>
      <c r="I24" s="419">
        <f>ROUND(I23*H24,2)</f>
        <v>328.34</v>
      </c>
      <c r="J24" s="419"/>
    </row>
    <row r="25" spans="1:11" s="184" customFormat="1" ht="20.100000000000001" customHeight="1">
      <c r="A25" s="392" t="s">
        <v>42</v>
      </c>
      <c r="B25" s="1028" t="s">
        <v>335</v>
      </c>
      <c r="C25" s="1028"/>
      <c r="D25" s="1028"/>
      <c r="E25" s="1028"/>
      <c r="F25" s="1028"/>
      <c r="G25" s="1028"/>
      <c r="H25" s="417">
        <v>0.4</v>
      </c>
      <c r="I25" s="419"/>
      <c r="J25" s="419">
        <f>ROUND(I17*H25,2)</f>
        <v>381.6</v>
      </c>
      <c r="K25" s="230"/>
    </row>
    <row r="26" spans="1:11" s="184" customFormat="1" ht="20.100000000000001" customHeight="1">
      <c r="A26" s="392" t="s">
        <v>44</v>
      </c>
      <c r="B26" s="988" t="s">
        <v>62</v>
      </c>
      <c r="C26" s="988"/>
      <c r="D26" s="988"/>
      <c r="E26" s="988"/>
      <c r="F26" s="988"/>
      <c r="G26" s="988"/>
      <c r="H26" s="989"/>
      <c r="I26" s="419"/>
      <c r="J26" s="419"/>
    </row>
    <row r="27" spans="1:11" s="184" customFormat="1" ht="20.100000000000001" customHeight="1">
      <c r="A27" s="1001" t="s">
        <v>63</v>
      </c>
      <c r="B27" s="1001"/>
      <c r="C27" s="1001"/>
      <c r="D27" s="1001"/>
      <c r="E27" s="1001"/>
      <c r="F27" s="1001"/>
      <c r="G27" s="1001"/>
      <c r="H27" s="1007"/>
      <c r="I27" s="420">
        <f t="shared" ref="I27:J27" si="0">TRUNC(SUM(I23:I26),2)</f>
        <v>1422.8</v>
      </c>
      <c r="J27" s="420">
        <f t="shared" si="0"/>
        <v>1476.06</v>
      </c>
    </row>
    <row r="28" spans="1:11" s="184" customFormat="1" ht="20.100000000000001" customHeight="1">
      <c r="A28" s="976" t="s">
        <v>291</v>
      </c>
      <c r="B28" s="976"/>
      <c r="C28" s="976"/>
      <c r="D28" s="976"/>
      <c r="E28" s="976"/>
      <c r="F28" s="976"/>
      <c r="G28" s="976"/>
      <c r="H28" s="976"/>
      <c r="I28" s="977"/>
      <c r="J28" s="977"/>
    </row>
    <row r="29" spans="1:11" s="184" customFormat="1" ht="25.2" customHeight="1">
      <c r="A29" s="976" t="s">
        <v>624</v>
      </c>
      <c r="B29" s="976"/>
      <c r="C29" s="976"/>
      <c r="D29" s="976"/>
      <c r="E29" s="976"/>
      <c r="F29" s="976"/>
      <c r="G29" s="976"/>
      <c r="H29" s="976"/>
      <c r="I29" s="976"/>
      <c r="J29" s="976"/>
    </row>
    <row r="30" spans="1:11" s="184" customFormat="1" ht="21" customHeight="1">
      <c r="A30" s="394" t="s">
        <v>8</v>
      </c>
      <c r="B30" s="1025" t="s">
        <v>626</v>
      </c>
      <c r="C30" s="1025"/>
      <c r="D30" s="1025"/>
      <c r="E30" s="1025"/>
      <c r="F30" s="1025"/>
      <c r="G30" s="1025"/>
      <c r="H30" s="252" t="s">
        <v>59</v>
      </c>
      <c r="I30" s="404" t="s">
        <v>60</v>
      </c>
      <c r="J30" s="404" t="s">
        <v>60</v>
      </c>
      <c r="K30" s="229"/>
    </row>
    <row r="31" spans="1:11" s="184" customFormat="1" ht="18" customHeight="1">
      <c r="A31" s="392" t="s">
        <v>38</v>
      </c>
      <c r="B31" s="1011" t="s">
        <v>331</v>
      </c>
      <c r="C31" s="1011"/>
      <c r="D31" s="1011"/>
      <c r="E31" s="1011"/>
      <c r="F31" s="1011"/>
      <c r="G31" s="1011"/>
      <c r="H31" s="408">
        <f>1/12</f>
        <v>8.3333333333333329E-2</v>
      </c>
      <c r="I31" s="406">
        <f>ROUND($I$27*H31,2)</f>
        <v>118.57</v>
      </c>
      <c r="J31" s="406">
        <f>ROUND($J$27*H31,2)</f>
        <v>123.01</v>
      </c>
      <c r="K31"/>
    </row>
    <row r="32" spans="1:11" ht="20.100000000000001" customHeight="1">
      <c r="A32" s="392" t="s">
        <v>40</v>
      </c>
      <c r="B32" s="988" t="s">
        <v>625</v>
      </c>
      <c r="C32" s="988"/>
      <c r="D32" s="988"/>
      <c r="E32" s="988"/>
      <c r="F32" s="988"/>
      <c r="G32" s="988"/>
      <c r="H32" s="795">
        <f>(5/56/3)</f>
        <v>2.9761904761904764E-2</v>
      </c>
      <c r="I32" s="406">
        <f>ROUND(H32*I27,2)</f>
        <v>42.35</v>
      </c>
      <c r="J32" s="406">
        <f>ROUND(H32*J27,2)</f>
        <v>43.93</v>
      </c>
    </row>
    <row r="33" spans="1:222" ht="20.100000000000001" customHeight="1">
      <c r="A33" s="1001" t="s">
        <v>85</v>
      </c>
      <c r="B33" s="1001"/>
      <c r="C33" s="1001"/>
      <c r="D33" s="1001"/>
      <c r="E33" s="1001"/>
      <c r="F33" s="1001"/>
      <c r="G33" s="1001"/>
      <c r="H33" s="398">
        <f t="shared" ref="H33" si="1">H31+H32</f>
        <v>0.1130952380952381</v>
      </c>
      <c r="I33" s="407">
        <f t="shared" ref="I33:J33" si="2">TRUNC(I31+I32,2)</f>
        <v>160.91999999999999</v>
      </c>
      <c r="J33" s="407">
        <f t="shared" si="2"/>
        <v>166.94</v>
      </c>
    </row>
    <row r="34" spans="1:222" ht="20.100000000000001" customHeight="1">
      <c r="A34" s="392" t="s">
        <v>42</v>
      </c>
      <c r="B34" s="1011" t="s">
        <v>290</v>
      </c>
      <c r="C34" s="1011"/>
      <c r="D34" s="1011"/>
      <c r="E34" s="1011"/>
      <c r="F34" s="1011"/>
      <c r="G34" s="1011"/>
      <c r="H34" s="409">
        <f>H33*H46</f>
        <v>3.8226190476190476E-2</v>
      </c>
      <c r="I34" s="407">
        <f>ROUND(I33*H46,2)</f>
        <v>54.39</v>
      </c>
      <c r="J34" s="407">
        <f>ROUND(J33*H46,2)</f>
        <v>56.43</v>
      </c>
    </row>
    <row r="35" spans="1:222" ht="25.2" customHeight="1">
      <c r="A35" s="1001" t="s">
        <v>84</v>
      </c>
      <c r="B35" s="1001"/>
      <c r="C35" s="1001"/>
      <c r="D35" s="1001"/>
      <c r="E35" s="1001"/>
      <c r="F35" s="1001"/>
      <c r="G35" s="1001"/>
      <c r="H35" s="410">
        <f>H33+H34</f>
        <v>0.15132142857142858</v>
      </c>
      <c r="I35" s="407">
        <f t="shared" ref="I35:J35" si="3">TRUNC(I33+I34,2)</f>
        <v>215.31</v>
      </c>
      <c r="J35" s="407">
        <f t="shared" si="3"/>
        <v>223.37</v>
      </c>
    </row>
    <row r="36" spans="1:222" ht="19.95" customHeight="1">
      <c r="A36" s="982" t="s">
        <v>289</v>
      </c>
      <c r="B36" s="982"/>
      <c r="C36" s="982"/>
      <c r="D36" s="982"/>
      <c r="E36" s="982"/>
      <c r="F36" s="982"/>
      <c r="G36" s="982"/>
      <c r="H36" s="982"/>
      <c r="I36" s="983"/>
      <c r="J36" s="983"/>
    </row>
    <row r="37" spans="1:222" ht="20.100000000000001" customHeight="1">
      <c r="A37" s="394" t="s">
        <v>282</v>
      </c>
      <c r="B37" s="1025" t="s">
        <v>288</v>
      </c>
      <c r="C37" s="1025"/>
      <c r="D37" s="1025"/>
      <c r="E37" s="1025"/>
      <c r="F37" s="1025"/>
      <c r="G37" s="1025"/>
      <c r="H37" s="394" t="s">
        <v>59</v>
      </c>
      <c r="I37" s="399" t="s">
        <v>60</v>
      </c>
      <c r="J37" s="399" t="s">
        <v>60</v>
      </c>
    </row>
    <row r="38" spans="1:222" ht="20.100000000000001" customHeight="1">
      <c r="A38" s="392" t="s">
        <v>38</v>
      </c>
      <c r="B38" s="988" t="s">
        <v>78</v>
      </c>
      <c r="C38" s="988"/>
      <c r="D38" s="988"/>
      <c r="E38" s="988"/>
      <c r="F38" s="988"/>
      <c r="G38" s="988"/>
      <c r="H38" s="396">
        <v>0.2</v>
      </c>
      <c r="I38" s="400">
        <f t="shared" ref="I38:I45" si="4">ROUND($I$27*H38,2)</f>
        <v>284.56</v>
      </c>
      <c r="J38" s="401">
        <f>ROUND($J$27*H38,2)</f>
        <v>295.20999999999998</v>
      </c>
    </row>
    <row r="39" spans="1:222" ht="22.2" customHeight="1">
      <c r="A39" s="392" t="s">
        <v>40</v>
      </c>
      <c r="B39" s="988" t="s">
        <v>80</v>
      </c>
      <c r="C39" s="988"/>
      <c r="D39" s="988"/>
      <c r="E39" s="988"/>
      <c r="F39" s="988"/>
      <c r="G39" s="988"/>
      <c r="H39" s="396">
        <v>2.5000000000000001E-2</v>
      </c>
      <c r="I39" s="406">
        <f t="shared" si="4"/>
        <v>35.57</v>
      </c>
      <c r="J39" s="406">
        <f>ROUND($J$27*H39,2)</f>
        <v>36.9</v>
      </c>
    </row>
    <row r="40" spans="1:222" ht="21.75" customHeight="1">
      <c r="A40" s="392" t="s">
        <v>42</v>
      </c>
      <c r="B40" s="988" t="s">
        <v>323</v>
      </c>
      <c r="C40" s="988"/>
      <c r="D40" s="988"/>
      <c r="E40" s="988"/>
      <c r="F40" s="988"/>
      <c r="G40" s="988"/>
      <c r="H40" s="397">
        <v>0</v>
      </c>
      <c r="I40" s="406">
        <f t="shared" si="4"/>
        <v>0</v>
      </c>
      <c r="J40" s="406">
        <f>ROUND($J$27*H40,2)</f>
        <v>0</v>
      </c>
    </row>
    <row r="41" spans="1:222" ht="20.100000000000001" customHeight="1">
      <c r="A41" s="392" t="s">
        <v>44</v>
      </c>
      <c r="B41" s="988" t="s">
        <v>287</v>
      </c>
      <c r="C41" s="988"/>
      <c r="D41" s="988"/>
      <c r="E41" s="988"/>
      <c r="F41" s="988"/>
      <c r="G41" s="988"/>
      <c r="H41" s="396">
        <v>1.4999999999999999E-2</v>
      </c>
      <c r="I41" s="406">
        <f t="shared" si="4"/>
        <v>21.34</v>
      </c>
      <c r="J41" s="406">
        <f>ROUND($J$27*H41,2)</f>
        <v>22.14</v>
      </c>
    </row>
    <row r="42" spans="1:222" ht="20.100000000000001" customHeight="1">
      <c r="A42" s="392" t="s">
        <v>27</v>
      </c>
      <c r="B42" s="988" t="s">
        <v>286</v>
      </c>
      <c r="C42" s="988"/>
      <c r="D42" s="988"/>
      <c r="E42" s="988"/>
      <c r="F42" s="988"/>
      <c r="G42" s="988"/>
      <c r="H42" s="396">
        <v>0.01</v>
      </c>
      <c r="I42" s="406">
        <f t="shared" si="4"/>
        <v>14.23</v>
      </c>
      <c r="J42" s="406">
        <f t="shared" ref="J42:J45" si="5">ROUND($J$27*H42,2)</f>
        <v>14.76</v>
      </c>
    </row>
    <row r="43" spans="1:222" ht="20.100000000000001" customHeight="1">
      <c r="A43" s="392" t="s">
        <v>67</v>
      </c>
      <c r="B43" s="988" t="s">
        <v>83</v>
      </c>
      <c r="C43" s="988"/>
      <c r="D43" s="988"/>
      <c r="E43" s="988"/>
      <c r="F43" s="988"/>
      <c r="G43" s="988"/>
      <c r="H43" s="396">
        <v>6.0000000000000001E-3</v>
      </c>
      <c r="I43" s="406">
        <f t="shared" si="4"/>
        <v>8.5399999999999991</v>
      </c>
      <c r="J43" s="406">
        <f t="shared" si="5"/>
        <v>8.86</v>
      </c>
    </row>
    <row r="44" spans="1:222" ht="20.100000000000001" customHeight="1">
      <c r="A44" s="392" t="s">
        <v>82</v>
      </c>
      <c r="B44" s="988" t="s">
        <v>79</v>
      </c>
      <c r="C44" s="988"/>
      <c r="D44" s="988"/>
      <c r="E44" s="988"/>
      <c r="F44" s="988"/>
      <c r="G44" s="988"/>
      <c r="H44" s="396">
        <v>2E-3</v>
      </c>
      <c r="I44" s="406">
        <f t="shared" si="4"/>
        <v>2.85</v>
      </c>
      <c r="J44" s="406">
        <f t="shared" si="5"/>
        <v>2.95</v>
      </c>
    </row>
    <row r="45" spans="1:222" ht="20.100000000000001" customHeight="1">
      <c r="A45" s="392" t="s">
        <v>61</v>
      </c>
      <c r="B45" s="988" t="s">
        <v>81</v>
      </c>
      <c r="C45" s="988"/>
      <c r="D45" s="988"/>
      <c r="E45" s="988"/>
      <c r="F45" s="988"/>
      <c r="G45" s="988"/>
      <c r="H45" s="396">
        <v>0.08</v>
      </c>
      <c r="I45" s="406">
        <f t="shared" si="4"/>
        <v>113.82</v>
      </c>
      <c r="J45" s="406">
        <f t="shared" si="5"/>
        <v>118.08</v>
      </c>
    </row>
    <row r="46" spans="1:222" s="187" customFormat="1" ht="20.100000000000001" customHeight="1">
      <c r="A46" s="1001" t="s">
        <v>84</v>
      </c>
      <c r="B46" s="1001"/>
      <c r="C46" s="1001"/>
      <c r="D46" s="1001"/>
      <c r="E46" s="1001"/>
      <c r="F46" s="1001"/>
      <c r="G46" s="1001"/>
      <c r="H46" s="398">
        <f t="shared" ref="H46:I46" si="6">SUM(H38:H45)</f>
        <v>0.33800000000000002</v>
      </c>
      <c r="I46" s="407">
        <f t="shared" si="6"/>
        <v>480.91</v>
      </c>
      <c r="J46" s="407">
        <f t="shared" ref="J46" si="7">SUM(J38:J45)</f>
        <v>498.89999999999992</v>
      </c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  <c r="AY46" s="186"/>
      <c r="AZ46" s="186"/>
      <c r="BA46" s="186"/>
      <c r="BB46" s="186"/>
      <c r="BC46" s="186"/>
      <c r="BD46" s="186"/>
      <c r="BE46" s="186"/>
      <c r="BF46" s="186"/>
      <c r="BG46" s="186"/>
      <c r="BH46" s="186"/>
      <c r="BI46" s="186"/>
      <c r="BJ46" s="186"/>
      <c r="BK46" s="186"/>
      <c r="BL46" s="186"/>
      <c r="BM46" s="186"/>
      <c r="BN46" s="186"/>
      <c r="BO46" s="186"/>
      <c r="BP46" s="186"/>
      <c r="BQ46" s="186"/>
      <c r="BR46" s="186"/>
      <c r="BS46" s="186"/>
      <c r="BT46" s="186"/>
      <c r="BU46" s="186"/>
      <c r="BV46" s="186"/>
      <c r="BW46" s="186"/>
      <c r="BX46" s="186"/>
      <c r="BY46" s="186"/>
      <c r="BZ46" s="186"/>
      <c r="CA46" s="186"/>
      <c r="CB46" s="186"/>
      <c r="CC46" s="186"/>
      <c r="CD46" s="186"/>
      <c r="CE46" s="186"/>
      <c r="CF46" s="186"/>
      <c r="CG46" s="186"/>
      <c r="CH46" s="186"/>
      <c r="CI46" s="186"/>
      <c r="CJ46" s="186"/>
      <c r="CK46" s="186"/>
      <c r="CL46" s="186"/>
      <c r="CM46" s="186"/>
      <c r="CN46" s="186"/>
      <c r="CO46" s="186"/>
      <c r="CP46" s="186"/>
      <c r="CQ46" s="186"/>
      <c r="CR46" s="186"/>
      <c r="CS46" s="186"/>
      <c r="CT46" s="186"/>
      <c r="CU46" s="186"/>
      <c r="CV46" s="186"/>
      <c r="CW46" s="186"/>
      <c r="CX46" s="186"/>
      <c r="CY46" s="186"/>
      <c r="CZ46" s="186"/>
      <c r="DA46" s="186"/>
      <c r="DB46" s="186"/>
      <c r="DC46" s="186"/>
      <c r="DD46" s="186"/>
      <c r="DE46" s="186"/>
      <c r="DF46" s="186"/>
      <c r="DG46" s="186"/>
      <c r="DH46" s="186"/>
      <c r="DI46" s="186"/>
      <c r="DJ46" s="186"/>
      <c r="DK46" s="186"/>
      <c r="DL46" s="186"/>
      <c r="DM46" s="186"/>
      <c r="DN46" s="186"/>
      <c r="DO46" s="186"/>
      <c r="DP46" s="186"/>
      <c r="DQ46" s="186"/>
      <c r="DR46" s="186"/>
      <c r="DS46" s="186"/>
      <c r="DT46" s="186"/>
      <c r="DU46" s="186"/>
      <c r="DV46" s="186"/>
      <c r="DW46" s="186"/>
      <c r="DX46" s="186"/>
      <c r="DY46" s="186"/>
      <c r="DZ46" s="186"/>
      <c r="EA46" s="186"/>
      <c r="EB46" s="186"/>
      <c r="EC46" s="186"/>
      <c r="ED46" s="186"/>
      <c r="EE46" s="186"/>
      <c r="EF46" s="186"/>
      <c r="EG46" s="186"/>
      <c r="EH46" s="186"/>
      <c r="EI46" s="186"/>
      <c r="EJ46" s="186"/>
      <c r="EK46" s="186"/>
      <c r="EL46" s="186"/>
      <c r="EM46" s="186"/>
      <c r="EN46" s="186"/>
      <c r="EO46" s="186"/>
      <c r="EP46" s="186"/>
      <c r="EQ46" s="186"/>
      <c r="ER46" s="186"/>
      <c r="ES46" s="186"/>
      <c r="ET46" s="186"/>
      <c r="EU46" s="186"/>
      <c r="EV46" s="186"/>
      <c r="EW46" s="186"/>
      <c r="EX46" s="186"/>
      <c r="EY46" s="186"/>
      <c r="EZ46" s="186"/>
      <c r="FA46" s="186"/>
      <c r="FB46" s="186"/>
      <c r="FC46" s="186"/>
      <c r="FD46" s="186"/>
      <c r="FE46" s="186"/>
      <c r="FF46" s="186"/>
      <c r="FG46" s="186"/>
      <c r="FH46" s="186"/>
      <c r="FI46" s="186"/>
      <c r="FJ46" s="186"/>
      <c r="FK46" s="186"/>
      <c r="FL46" s="186"/>
      <c r="FM46" s="186"/>
      <c r="FN46" s="186"/>
      <c r="FO46" s="186"/>
      <c r="FP46" s="186"/>
      <c r="FQ46" s="186"/>
      <c r="FR46" s="186"/>
      <c r="FS46" s="186"/>
      <c r="FT46" s="186"/>
      <c r="FU46" s="186"/>
      <c r="FV46" s="186"/>
      <c r="FW46" s="186"/>
      <c r="FX46" s="186"/>
      <c r="FY46" s="186"/>
      <c r="FZ46" s="186"/>
      <c r="GA46" s="186"/>
      <c r="GB46" s="186"/>
      <c r="GC46" s="186"/>
      <c r="GD46" s="186"/>
      <c r="GE46" s="186"/>
      <c r="GF46" s="186"/>
      <c r="GG46" s="186"/>
      <c r="GH46" s="186"/>
      <c r="GI46" s="186"/>
      <c r="GJ46" s="186"/>
      <c r="GK46" s="186"/>
      <c r="GL46" s="186"/>
      <c r="GM46" s="186"/>
      <c r="GN46" s="186"/>
      <c r="GO46" s="186"/>
      <c r="GP46" s="186"/>
      <c r="GQ46" s="186"/>
      <c r="GR46" s="186"/>
      <c r="GS46" s="186"/>
      <c r="GT46" s="186"/>
      <c r="GU46" s="186"/>
      <c r="GV46" s="186"/>
      <c r="GW46" s="186"/>
      <c r="GX46" s="186"/>
      <c r="GY46" s="186"/>
      <c r="GZ46" s="186"/>
      <c r="HA46" s="186"/>
      <c r="HB46" s="186"/>
      <c r="HC46" s="186"/>
      <c r="HD46" s="186"/>
      <c r="HE46" s="186"/>
      <c r="HF46" s="186"/>
      <c r="HG46" s="186"/>
      <c r="HH46" s="186"/>
      <c r="HI46" s="186"/>
      <c r="HJ46" s="186"/>
      <c r="HK46" s="186"/>
      <c r="HL46" s="186"/>
      <c r="HM46" s="186"/>
      <c r="HN46" s="186"/>
    </row>
    <row r="47" spans="1:222" ht="20.100000000000001" customHeight="1">
      <c r="A47" s="985" t="s">
        <v>381</v>
      </c>
      <c r="B47" s="985"/>
      <c r="C47" s="985"/>
      <c r="D47" s="985"/>
      <c r="E47" s="985"/>
      <c r="F47" s="985"/>
      <c r="G47" s="985"/>
      <c r="H47" s="985"/>
      <c r="I47" s="986"/>
      <c r="J47" s="986"/>
    </row>
    <row r="48" spans="1:222" s="395" customFormat="1" ht="22.2" customHeight="1">
      <c r="A48" s="394" t="s">
        <v>280</v>
      </c>
      <c r="B48" s="985" t="s">
        <v>64</v>
      </c>
      <c r="C48" s="985"/>
      <c r="D48" s="985"/>
      <c r="E48" s="985"/>
      <c r="F48" s="985"/>
      <c r="G48" s="985"/>
      <c r="H48" s="985"/>
      <c r="I48" s="404" t="s">
        <v>60</v>
      </c>
      <c r="J48" s="404" t="s">
        <v>60</v>
      </c>
      <c r="K48" s="1015"/>
      <c r="L48" s="1015"/>
      <c r="M48" s="1015"/>
      <c r="N48" s="1015"/>
      <c r="O48" s="1015"/>
      <c r="V48" s="1015"/>
      <c r="W48" s="1015"/>
      <c r="X48" s="1015"/>
      <c r="Y48" s="1015"/>
      <c r="Z48" s="1015"/>
      <c r="AA48" s="1015"/>
      <c r="AB48" s="1015"/>
      <c r="AC48" s="1015"/>
      <c r="AD48" s="1015"/>
      <c r="AE48" s="1015"/>
      <c r="AF48" s="1015"/>
      <c r="AG48" s="1015"/>
      <c r="AH48" s="1015"/>
      <c r="AI48" s="1015"/>
      <c r="AJ48" s="1015"/>
      <c r="AK48" s="1015"/>
      <c r="AL48" s="1015"/>
      <c r="AM48" s="1015"/>
      <c r="AN48" s="1015"/>
      <c r="AO48" s="1015"/>
      <c r="AP48" s="1015"/>
      <c r="AQ48" s="1015"/>
      <c r="AR48" s="1015"/>
      <c r="AS48" s="1015"/>
      <c r="AT48" s="1015"/>
      <c r="AU48" s="1015"/>
      <c r="AV48" s="1015"/>
      <c r="AW48" s="1015"/>
      <c r="AX48" s="1015"/>
      <c r="AY48" s="1015"/>
      <c r="AZ48" s="1015"/>
      <c r="BA48" s="1015"/>
      <c r="BB48" s="1015"/>
      <c r="BC48" s="1015"/>
      <c r="BD48" s="1015"/>
      <c r="BE48" s="1015"/>
      <c r="BF48" s="1015"/>
      <c r="BG48" s="1015"/>
      <c r="BH48" s="1015"/>
      <c r="BI48" s="1015"/>
      <c r="BJ48" s="1015"/>
      <c r="BK48" s="1015"/>
      <c r="BL48" s="1015"/>
      <c r="BM48" s="1015"/>
      <c r="BN48" s="1015"/>
      <c r="BO48" s="1015"/>
      <c r="BP48" s="1015"/>
      <c r="BQ48" s="1015"/>
      <c r="BR48" s="1015"/>
      <c r="BS48" s="1015"/>
      <c r="BT48" s="1015"/>
      <c r="BU48" s="1015"/>
      <c r="BV48" s="1015"/>
      <c r="BW48" s="1015"/>
      <c r="BX48" s="1015"/>
      <c r="BY48" s="1015"/>
      <c r="BZ48" s="1015"/>
      <c r="CA48" s="1015"/>
      <c r="CB48" s="1015"/>
      <c r="CC48" s="1015"/>
      <c r="CD48" s="1015"/>
      <c r="CE48" s="1015"/>
      <c r="CF48" s="1015"/>
      <c r="CG48" s="1015"/>
      <c r="CH48" s="1015"/>
      <c r="CI48" s="1015"/>
      <c r="CJ48" s="1015"/>
      <c r="CK48" s="1015"/>
      <c r="CL48" s="1015"/>
      <c r="CM48" s="1015"/>
      <c r="CN48" s="1015"/>
      <c r="CO48" s="1015"/>
      <c r="CP48" s="1015"/>
      <c r="CQ48" s="1015"/>
      <c r="CR48" s="1015"/>
      <c r="CS48" s="1015"/>
      <c r="CT48" s="1015"/>
      <c r="CU48" s="1015"/>
      <c r="CV48" s="1015"/>
      <c r="CW48" s="1015"/>
      <c r="CX48" s="1015"/>
      <c r="CY48" s="1015"/>
      <c r="CZ48" s="1015"/>
      <c r="DA48" s="1015"/>
      <c r="DB48" s="1015"/>
      <c r="DC48" s="1015"/>
      <c r="DD48" s="1015"/>
      <c r="DE48" s="1015"/>
      <c r="DF48" s="1015"/>
      <c r="DG48" s="1015"/>
      <c r="DH48" s="1015"/>
      <c r="DI48" s="1015"/>
      <c r="DJ48" s="1015"/>
      <c r="DK48" s="1015"/>
      <c r="DL48" s="1015"/>
      <c r="DM48" s="1015"/>
      <c r="DN48" s="1015"/>
      <c r="DO48" s="1015"/>
      <c r="DP48" s="1015"/>
      <c r="DQ48" s="1015"/>
      <c r="DR48" s="1015"/>
      <c r="DS48" s="1015"/>
      <c r="DT48" s="1015"/>
      <c r="DU48" s="1015"/>
      <c r="DV48" s="1015"/>
      <c r="DW48" s="1015"/>
      <c r="DX48" s="1015"/>
      <c r="DY48" s="1015"/>
      <c r="DZ48" s="1015"/>
      <c r="EA48" s="1015"/>
      <c r="EB48" s="1015"/>
      <c r="EC48" s="1015"/>
      <c r="ED48" s="1015"/>
      <c r="EE48" s="1015"/>
      <c r="EF48" s="1015"/>
      <c r="EG48" s="1015"/>
      <c r="EH48" s="1015"/>
      <c r="EI48" s="1015"/>
      <c r="EJ48" s="1015"/>
      <c r="EK48" s="1015"/>
      <c r="EL48" s="1015"/>
      <c r="EM48" s="1015"/>
      <c r="EN48" s="1015"/>
      <c r="EO48" s="1015"/>
      <c r="EP48" s="1015"/>
      <c r="EQ48" s="1015"/>
      <c r="ER48" s="1015"/>
      <c r="ES48" s="1015"/>
      <c r="ET48" s="1015"/>
      <c r="EU48" s="1015"/>
      <c r="EV48" s="1015"/>
      <c r="EW48" s="1015"/>
      <c r="EX48" s="1015"/>
      <c r="EY48" s="1015"/>
      <c r="EZ48" s="1015"/>
      <c r="FA48" s="1015"/>
      <c r="FB48" s="1015"/>
      <c r="FC48" s="1015"/>
      <c r="FD48" s="1015"/>
      <c r="FE48" s="1015"/>
      <c r="FF48" s="1015"/>
      <c r="FG48" s="1015"/>
      <c r="FH48" s="1015"/>
      <c r="FI48" s="1015"/>
      <c r="FJ48" s="1015"/>
      <c r="FK48" s="1015"/>
      <c r="FL48" s="1015"/>
      <c r="FM48" s="1015"/>
      <c r="FN48" s="1015"/>
      <c r="FO48" s="1015"/>
      <c r="FP48" s="1015"/>
      <c r="FQ48" s="1015"/>
      <c r="FR48" s="1015"/>
      <c r="FS48" s="1015"/>
      <c r="FT48" s="1015"/>
      <c r="FU48" s="1015"/>
      <c r="FV48" s="1015"/>
      <c r="FW48" s="1015"/>
      <c r="FX48" s="1015"/>
      <c r="FY48" s="1015"/>
      <c r="FZ48" s="1015"/>
      <c r="GA48" s="1015"/>
      <c r="GB48" s="1015"/>
      <c r="GC48" s="1015"/>
      <c r="GD48" s="1015"/>
      <c r="GE48" s="1015"/>
      <c r="GF48" s="1015"/>
      <c r="GG48" s="1015"/>
      <c r="GH48" s="1015"/>
      <c r="GI48" s="1015"/>
      <c r="GJ48" s="1015"/>
      <c r="GK48" s="1015"/>
      <c r="GL48" s="1015"/>
      <c r="GM48" s="1015"/>
      <c r="GN48" s="1015"/>
      <c r="GO48" s="1015"/>
      <c r="GP48" s="1015"/>
      <c r="GQ48" s="1015"/>
      <c r="GR48" s="1015"/>
      <c r="GS48" s="1015"/>
      <c r="GT48" s="1015"/>
      <c r="GU48" s="1015"/>
      <c r="GV48" s="1015"/>
      <c r="GW48" s="1015"/>
      <c r="GX48" s="1015"/>
      <c r="GY48" s="1015"/>
      <c r="GZ48" s="1015"/>
      <c r="HA48" s="1015"/>
      <c r="HB48" s="1015"/>
      <c r="HC48" s="1015"/>
      <c r="HD48" s="1015"/>
      <c r="HE48" s="1015"/>
    </row>
    <row r="49" spans="1:10" s="184" customFormat="1" ht="22.95" customHeight="1">
      <c r="A49" s="392" t="s">
        <v>38</v>
      </c>
      <c r="B49" s="1012" t="s">
        <v>460</v>
      </c>
      <c r="C49" s="1013"/>
      <c r="D49" s="1013"/>
      <c r="E49" s="1014"/>
      <c r="F49" s="390">
        <v>21</v>
      </c>
      <c r="G49" s="390">
        <v>2</v>
      </c>
      <c r="H49" s="402">
        <v>3</v>
      </c>
      <c r="I49" s="406">
        <f>ROUND((G49*H49*F49)-(6%*I23),2)</f>
        <v>60.33</v>
      </c>
      <c r="J49" s="406">
        <f>ROUND((G49*H49*F49)-(6%*J23),2)</f>
        <v>60.33</v>
      </c>
    </row>
    <row r="50" spans="1:10" s="184" customFormat="1" ht="22.8" customHeight="1">
      <c r="A50" s="392" t="s">
        <v>40</v>
      </c>
      <c r="B50" s="1016" t="s">
        <v>459</v>
      </c>
      <c r="C50" s="1017"/>
      <c r="D50" s="1017"/>
      <c r="E50" s="1017"/>
      <c r="F50" s="1018"/>
      <c r="G50" s="189">
        <v>360</v>
      </c>
      <c r="H50" s="403">
        <f>G50*0.99%</f>
        <v>3.5639999999999996</v>
      </c>
      <c r="I50" s="406">
        <f>ROUND(G50-H50,2)</f>
        <v>356.44</v>
      </c>
      <c r="J50" s="406">
        <f>ROUND(G50-H50,2)</f>
        <v>356.44</v>
      </c>
    </row>
    <row r="51" spans="1:10" s="184" customFormat="1" ht="21" customHeight="1">
      <c r="A51" s="392" t="s">
        <v>42</v>
      </c>
      <c r="B51" s="988" t="s">
        <v>65</v>
      </c>
      <c r="C51" s="988"/>
      <c r="D51" s="988"/>
      <c r="E51" s="988"/>
      <c r="F51" s="988"/>
      <c r="G51" s="988"/>
      <c r="H51" s="989"/>
      <c r="I51" s="406"/>
      <c r="J51" s="406"/>
    </row>
    <row r="52" spans="1:10" s="184" customFormat="1" ht="20.100000000000001" customHeight="1">
      <c r="A52" s="392" t="s">
        <v>44</v>
      </c>
      <c r="B52" s="988" t="s">
        <v>66</v>
      </c>
      <c r="C52" s="988"/>
      <c r="D52" s="988"/>
      <c r="E52" s="988"/>
      <c r="F52" s="988"/>
      <c r="G52" s="988"/>
      <c r="H52" s="989"/>
      <c r="I52" s="406"/>
      <c r="J52" s="406"/>
    </row>
    <row r="53" spans="1:10" s="184" customFormat="1" ht="20.100000000000001" customHeight="1">
      <c r="A53" s="392" t="s">
        <v>27</v>
      </c>
      <c r="B53" s="988" t="s">
        <v>324</v>
      </c>
      <c r="C53" s="988"/>
      <c r="D53" s="988"/>
      <c r="E53" s="988"/>
      <c r="F53" s="988"/>
      <c r="G53" s="988"/>
      <c r="H53" s="989"/>
      <c r="I53" s="406"/>
      <c r="J53" s="406"/>
    </row>
    <row r="54" spans="1:10" s="191" customFormat="1" ht="20.100000000000001" customHeight="1">
      <c r="A54" s="392" t="s">
        <v>67</v>
      </c>
      <c r="B54" s="988" t="s">
        <v>62</v>
      </c>
      <c r="C54" s="988"/>
      <c r="D54" s="988"/>
      <c r="E54" s="988"/>
      <c r="F54" s="988"/>
      <c r="G54" s="988"/>
      <c r="H54" s="989"/>
      <c r="I54" s="406"/>
      <c r="J54" s="406"/>
    </row>
    <row r="55" spans="1:10" s="184" customFormat="1" ht="20.100000000000001" customHeight="1">
      <c r="A55" s="190"/>
      <c r="B55" s="1001" t="s">
        <v>68</v>
      </c>
      <c r="C55" s="1001"/>
      <c r="D55" s="1001"/>
      <c r="E55" s="1001"/>
      <c r="F55" s="1001"/>
      <c r="G55" s="1001"/>
      <c r="H55" s="1007"/>
      <c r="I55" s="406">
        <f t="shared" ref="I55:J55" si="8">TRUNC(SUM(I49:I54),2)</f>
        <v>416.77</v>
      </c>
      <c r="J55" s="406">
        <f t="shared" si="8"/>
        <v>416.77</v>
      </c>
    </row>
    <row r="56" spans="1:10" s="184" customFormat="1" ht="20.100000000000001" customHeight="1">
      <c r="A56" s="1050" t="s">
        <v>69</v>
      </c>
      <c r="B56" s="1050"/>
      <c r="C56" s="1050"/>
      <c r="D56" s="1050"/>
      <c r="E56" s="1050"/>
      <c r="F56" s="1050"/>
      <c r="G56" s="1050"/>
      <c r="H56" s="1050"/>
      <c r="I56" s="1051"/>
      <c r="J56" s="405"/>
    </row>
    <row r="57" spans="1:10" s="184" customFormat="1" ht="20.100000000000001" customHeight="1">
      <c r="A57" s="1019" t="s">
        <v>285</v>
      </c>
      <c r="B57" s="1019"/>
      <c r="C57" s="1019"/>
      <c r="D57" s="1019"/>
      <c r="E57" s="1019"/>
      <c r="F57" s="1019"/>
      <c r="G57" s="1019"/>
      <c r="H57" s="1019"/>
      <c r="I57" s="1019"/>
      <c r="J57" s="1019"/>
    </row>
    <row r="58" spans="1:10" s="184" customFormat="1" ht="20.100000000000001" customHeight="1">
      <c r="A58" s="393">
        <v>2</v>
      </c>
      <c r="B58" s="1019" t="s">
        <v>284</v>
      </c>
      <c r="C58" s="1019"/>
      <c r="D58" s="1019"/>
      <c r="E58" s="1019"/>
      <c r="F58" s="1019"/>
      <c r="G58" s="1019"/>
      <c r="H58" s="393" t="s">
        <v>59</v>
      </c>
      <c r="I58" s="762" t="s">
        <v>60</v>
      </c>
      <c r="J58" s="762" t="s">
        <v>60</v>
      </c>
    </row>
    <row r="59" spans="1:10" s="184" customFormat="1" ht="20.100000000000001" customHeight="1">
      <c r="A59" s="217" t="s">
        <v>8</v>
      </c>
      <c r="B59" s="1020" t="s">
        <v>283</v>
      </c>
      <c r="C59" s="1020"/>
      <c r="D59" s="1020"/>
      <c r="E59" s="1020"/>
      <c r="F59" s="1020"/>
      <c r="G59" s="1020"/>
      <c r="H59" s="434">
        <f>H33</f>
        <v>0.1130952380952381</v>
      </c>
      <c r="I59" s="442">
        <f t="shared" ref="I59:J59" si="9">I35</f>
        <v>215.31</v>
      </c>
      <c r="J59" s="442">
        <f t="shared" si="9"/>
        <v>223.37</v>
      </c>
    </row>
    <row r="60" spans="1:10" s="184" customFormat="1" ht="20.100000000000001" customHeight="1">
      <c r="A60" s="217" t="s">
        <v>282</v>
      </c>
      <c r="B60" s="1020" t="s">
        <v>281</v>
      </c>
      <c r="C60" s="1020"/>
      <c r="D60" s="1020"/>
      <c r="E60" s="1020"/>
      <c r="F60" s="1020"/>
      <c r="G60" s="1020"/>
      <c r="H60" s="434">
        <f t="shared" ref="H60:J60" si="10">H46</f>
        <v>0.33800000000000002</v>
      </c>
      <c r="I60" s="442">
        <f t="shared" si="10"/>
        <v>480.91</v>
      </c>
      <c r="J60" s="442">
        <f t="shared" si="10"/>
        <v>498.89999999999992</v>
      </c>
    </row>
    <row r="61" spans="1:10" s="184" customFormat="1" ht="20.100000000000001" customHeight="1">
      <c r="A61" s="217" t="s">
        <v>280</v>
      </c>
      <c r="B61" s="1020" t="s">
        <v>279</v>
      </c>
      <c r="C61" s="1020"/>
      <c r="D61" s="1020"/>
      <c r="E61" s="1020"/>
      <c r="F61" s="1020"/>
      <c r="G61" s="1020"/>
      <c r="H61" s="440" t="s">
        <v>89</v>
      </c>
      <c r="I61" s="442">
        <f t="shared" ref="I61:J61" si="11">I55</f>
        <v>416.77</v>
      </c>
      <c r="J61" s="442">
        <f t="shared" si="11"/>
        <v>416.77</v>
      </c>
    </row>
    <row r="62" spans="1:10" s="184" customFormat="1" ht="21" customHeight="1">
      <c r="A62" s="1021" t="s">
        <v>84</v>
      </c>
      <c r="B62" s="1021"/>
      <c r="C62" s="1021"/>
      <c r="D62" s="1021"/>
      <c r="E62" s="1021"/>
      <c r="F62" s="1021"/>
      <c r="G62" s="1021"/>
      <c r="H62" s="434">
        <f>H59+H60</f>
        <v>0.4510952380952381</v>
      </c>
      <c r="I62" s="442">
        <f t="shared" ref="I62:J62" si="12">SUM(I59:I61)</f>
        <v>1112.99</v>
      </c>
      <c r="J62" s="442">
        <f t="shared" si="12"/>
        <v>1139.04</v>
      </c>
    </row>
    <row r="63" spans="1:10" s="184" customFormat="1" ht="20.100000000000001" customHeight="1">
      <c r="A63" s="976" t="s">
        <v>278</v>
      </c>
      <c r="B63" s="976"/>
      <c r="C63" s="976"/>
      <c r="D63" s="976"/>
      <c r="E63" s="976"/>
      <c r="F63" s="976"/>
      <c r="G63" s="976"/>
      <c r="H63" s="976"/>
      <c r="I63" s="977"/>
      <c r="J63" s="977"/>
    </row>
    <row r="64" spans="1:10" s="184" customFormat="1" ht="20.100000000000001" customHeight="1">
      <c r="A64" s="394">
        <v>3</v>
      </c>
      <c r="B64" s="985" t="s">
        <v>86</v>
      </c>
      <c r="C64" s="985"/>
      <c r="D64" s="985"/>
      <c r="E64" s="985"/>
      <c r="F64" s="985"/>
      <c r="G64" s="985"/>
      <c r="H64" s="985"/>
      <c r="I64" s="404" t="s">
        <v>60</v>
      </c>
      <c r="J64" s="404" t="s">
        <v>60</v>
      </c>
    </row>
    <row r="65" spans="1:11" s="184" customFormat="1" ht="20.100000000000001" customHeight="1">
      <c r="A65" s="392" t="s">
        <v>38</v>
      </c>
      <c r="B65" s="988" t="s">
        <v>662</v>
      </c>
      <c r="C65" s="988"/>
      <c r="D65" s="988"/>
      <c r="E65" s="988"/>
      <c r="F65" s="988"/>
      <c r="G65" s="988"/>
      <c r="H65" s="409">
        <v>0</v>
      </c>
      <c r="I65" s="406">
        <f>ROUND($I$27*H65,2)</f>
        <v>0</v>
      </c>
      <c r="J65" s="406">
        <f>ROUND($J$27*H65,2)</f>
        <v>0</v>
      </c>
    </row>
    <row r="66" spans="1:11" s="184" customFormat="1" ht="21.6" customHeight="1">
      <c r="A66" s="392" t="s">
        <v>40</v>
      </c>
      <c r="B66" s="988" t="s">
        <v>87</v>
      </c>
      <c r="C66" s="988"/>
      <c r="D66" s="988"/>
      <c r="E66" s="988"/>
      <c r="F66" s="988"/>
      <c r="G66" s="988"/>
      <c r="H66" s="434">
        <f>H45*H65</f>
        <v>0</v>
      </c>
      <c r="I66" s="406">
        <f t="shared" ref="I66:J66" si="13">ROUND($H$45*I65,2)</f>
        <v>0</v>
      </c>
      <c r="J66" s="406">
        <f t="shared" si="13"/>
        <v>0</v>
      </c>
    </row>
    <row r="67" spans="1:11" s="184" customFormat="1" ht="21.6" customHeight="1">
      <c r="A67" s="392" t="s">
        <v>42</v>
      </c>
      <c r="B67" s="1011" t="s">
        <v>372</v>
      </c>
      <c r="C67" s="1011"/>
      <c r="D67" s="1011"/>
      <c r="E67" s="1011"/>
      <c r="F67" s="1011"/>
      <c r="G67" s="1011"/>
      <c r="H67" s="435">
        <f>((8%*50%)*90%)*((1+5/56+5/56+5/168))</f>
        <v>4.3499999999999997E-2</v>
      </c>
      <c r="I67" s="406">
        <f>ROUND($I$27*H67,2)</f>
        <v>61.89</v>
      </c>
      <c r="J67" s="406">
        <f>ROUND($J$27*H67,2)</f>
        <v>64.209999999999994</v>
      </c>
    </row>
    <row r="68" spans="1:11" s="184" customFormat="1" ht="19.2" customHeight="1">
      <c r="A68" s="392" t="s">
        <v>44</v>
      </c>
      <c r="B68" s="1011" t="s">
        <v>333</v>
      </c>
      <c r="C68" s="1011"/>
      <c r="D68" s="1011"/>
      <c r="E68" s="1011"/>
      <c r="F68" s="1011"/>
      <c r="G68" s="1011"/>
      <c r="H68" s="435">
        <v>1.9400000000000001E-2</v>
      </c>
      <c r="I68" s="406">
        <f>ROUND($I$27*H68,2)</f>
        <v>27.6</v>
      </c>
      <c r="J68" s="406">
        <f>ROUND($J$27*H68,2)</f>
        <v>28.64</v>
      </c>
    </row>
    <row r="69" spans="1:11" s="184" customFormat="1" ht="28.2" customHeight="1">
      <c r="A69" s="392" t="s">
        <v>27</v>
      </c>
      <c r="B69" s="1011" t="s">
        <v>277</v>
      </c>
      <c r="C69" s="1011"/>
      <c r="D69" s="1011"/>
      <c r="E69" s="1011"/>
      <c r="F69" s="1011"/>
      <c r="G69" s="1011"/>
      <c r="H69" s="434">
        <f>H46*H68</f>
        <v>6.5572000000000009E-3</v>
      </c>
      <c r="I69" s="406">
        <f t="shared" ref="I69:J69" si="14">ROUND($H$46*I68,2)</f>
        <v>9.33</v>
      </c>
      <c r="J69" s="406">
        <f t="shared" si="14"/>
        <v>9.68</v>
      </c>
    </row>
    <row r="70" spans="1:11" s="184" customFormat="1" ht="22.2" customHeight="1">
      <c r="A70" s="392" t="s">
        <v>67</v>
      </c>
      <c r="B70" s="1011" t="s">
        <v>371</v>
      </c>
      <c r="C70" s="1011"/>
      <c r="D70" s="1011"/>
      <c r="E70" s="1011"/>
      <c r="F70" s="1011"/>
      <c r="G70" s="1011"/>
      <c r="H70" s="435">
        <f>((1*50%*8%*H68)+0.572%)</f>
        <v>6.4959999999999992E-3</v>
      </c>
      <c r="I70" s="406">
        <f>ROUND($I$27*H70,2)</f>
        <v>9.24</v>
      </c>
      <c r="J70" s="406">
        <f>ROUND($J$27*H70,2)</f>
        <v>9.59</v>
      </c>
    </row>
    <row r="71" spans="1:11" s="184" customFormat="1" ht="20.25" customHeight="1">
      <c r="A71" s="1001" t="s">
        <v>84</v>
      </c>
      <c r="B71" s="1001"/>
      <c r="C71" s="1001"/>
      <c r="D71" s="1001"/>
      <c r="E71" s="1001"/>
      <c r="F71" s="1001"/>
      <c r="G71" s="1001"/>
      <c r="H71" s="398">
        <f t="shared" ref="H71:I71" si="15">SUM(H65:H70)</f>
        <v>7.5953199999999998E-2</v>
      </c>
      <c r="I71" s="407">
        <f t="shared" si="15"/>
        <v>108.06</v>
      </c>
      <c r="J71" s="407">
        <f t="shared" ref="J71" si="16">SUM(J65:J70)</f>
        <v>112.12</v>
      </c>
    </row>
    <row r="72" spans="1:11" s="184" customFormat="1" ht="20.100000000000001" customHeight="1">
      <c r="A72" s="976" t="s">
        <v>271</v>
      </c>
      <c r="B72" s="976"/>
      <c r="C72" s="976"/>
      <c r="D72" s="976"/>
      <c r="E72" s="976"/>
      <c r="F72" s="976"/>
      <c r="G72" s="976"/>
      <c r="H72" s="976"/>
      <c r="I72" s="977"/>
      <c r="J72" s="977"/>
    </row>
    <row r="73" spans="1:11" s="184" customFormat="1" ht="20.100000000000001" customHeight="1">
      <c r="A73" s="394" t="s">
        <v>77</v>
      </c>
      <c r="B73" s="985" t="s">
        <v>627</v>
      </c>
      <c r="C73" s="985"/>
      <c r="D73" s="985"/>
      <c r="E73" s="985"/>
      <c r="F73" s="985"/>
      <c r="G73" s="985"/>
      <c r="H73" s="985"/>
      <c r="I73" s="404" t="s">
        <v>60</v>
      </c>
      <c r="J73" s="404" t="s">
        <v>60</v>
      </c>
      <c r="K73"/>
    </row>
    <row r="74" spans="1:11" s="184" customFormat="1" ht="22.8" customHeight="1">
      <c r="A74" s="392" t="s">
        <v>38</v>
      </c>
      <c r="B74" s="1012" t="s">
        <v>660</v>
      </c>
      <c r="C74" s="1013"/>
      <c r="D74" s="1013"/>
      <c r="E74" s="1013"/>
      <c r="F74" s="1013"/>
      <c r="G74" s="1014"/>
      <c r="H74" s="796">
        <v>9.1200000000000003E-2</v>
      </c>
      <c r="I74" s="406">
        <f t="shared" ref="I74:I80" si="17">ROUND($I$27*H74,2)</f>
        <v>129.76</v>
      </c>
      <c r="J74" s="406">
        <f>ROUND($J$27*H74,2)</f>
        <v>134.62</v>
      </c>
      <c r="K74"/>
    </row>
    <row r="75" spans="1:11" s="184" customFormat="1" ht="20.100000000000001" customHeight="1">
      <c r="A75" s="392" t="s">
        <v>40</v>
      </c>
      <c r="B75" s="988" t="s">
        <v>628</v>
      </c>
      <c r="C75" s="988"/>
      <c r="D75" s="988"/>
      <c r="E75" s="988"/>
      <c r="F75" s="988"/>
      <c r="G75" s="988"/>
      <c r="H75" s="433">
        <v>0</v>
      </c>
      <c r="I75" s="406">
        <f t="shared" si="17"/>
        <v>0</v>
      </c>
      <c r="J75" s="406">
        <f t="shared" ref="J75:J80" si="18">ROUND($J$27*H75,2)</f>
        <v>0</v>
      </c>
    </row>
    <row r="76" spans="1:11" s="184" customFormat="1" ht="20.100000000000001" customHeight="1">
      <c r="A76" s="392" t="s">
        <v>42</v>
      </c>
      <c r="B76" s="988" t="s">
        <v>629</v>
      </c>
      <c r="C76" s="988"/>
      <c r="D76" s="988"/>
      <c r="E76" s="988"/>
      <c r="F76" s="988"/>
      <c r="G76" s="988"/>
      <c r="H76" s="433">
        <v>0</v>
      </c>
      <c r="I76" s="406">
        <f t="shared" si="17"/>
        <v>0</v>
      </c>
      <c r="J76" s="406">
        <f t="shared" si="18"/>
        <v>0</v>
      </c>
    </row>
    <row r="77" spans="1:11" s="184" customFormat="1" ht="20.100000000000001" customHeight="1">
      <c r="A77" s="392" t="s">
        <v>44</v>
      </c>
      <c r="B77" s="988" t="s">
        <v>630</v>
      </c>
      <c r="C77" s="988"/>
      <c r="D77" s="988"/>
      <c r="E77" s="988"/>
      <c r="F77" s="988"/>
      <c r="G77" s="988"/>
      <c r="H77" s="433">
        <v>0</v>
      </c>
      <c r="I77" s="406">
        <f t="shared" si="17"/>
        <v>0</v>
      </c>
      <c r="J77" s="406">
        <f t="shared" si="18"/>
        <v>0</v>
      </c>
    </row>
    <row r="78" spans="1:11" s="184" customFormat="1" ht="22.5" customHeight="1">
      <c r="A78" s="392" t="s">
        <v>27</v>
      </c>
      <c r="B78" s="988" t="s">
        <v>631</v>
      </c>
      <c r="C78" s="988"/>
      <c r="D78" s="988"/>
      <c r="E78" s="988"/>
      <c r="F78" s="988"/>
      <c r="G78" s="988"/>
      <c r="H78" s="433">
        <v>0</v>
      </c>
      <c r="I78" s="406">
        <f t="shared" si="17"/>
        <v>0</v>
      </c>
      <c r="J78" s="406">
        <f t="shared" si="18"/>
        <v>0</v>
      </c>
    </row>
    <row r="79" spans="1:11" s="184" customFormat="1" ht="20.100000000000001" customHeight="1">
      <c r="A79" s="392" t="s">
        <v>67</v>
      </c>
      <c r="B79" s="988" t="s">
        <v>632</v>
      </c>
      <c r="C79" s="988"/>
      <c r="D79" s="988"/>
      <c r="E79" s="988"/>
      <c r="F79" s="988"/>
      <c r="G79" s="988"/>
      <c r="H79" s="433">
        <v>0</v>
      </c>
      <c r="I79" s="406">
        <f t="shared" si="17"/>
        <v>0</v>
      </c>
      <c r="J79" s="406">
        <f t="shared" si="18"/>
        <v>0</v>
      </c>
    </row>
    <row r="80" spans="1:11" s="184" customFormat="1" ht="20.100000000000001" customHeight="1">
      <c r="A80" s="392" t="s">
        <v>82</v>
      </c>
      <c r="B80" s="988" t="s">
        <v>633</v>
      </c>
      <c r="C80" s="988"/>
      <c r="D80" s="988"/>
      <c r="E80" s="988"/>
      <c r="F80" s="988"/>
      <c r="G80" s="988"/>
      <c r="H80" s="433">
        <v>0</v>
      </c>
      <c r="I80" s="406">
        <f t="shared" si="17"/>
        <v>0</v>
      </c>
      <c r="J80" s="406">
        <f t="shared" si="18"/>
        <v>0</v>
      </c>
    </row>
    <row r="81" spans="1:10" s="184" customFormat="1" ht="20.100000000000001" customHeight="1">
      <c r="A81" s="1001" t="s">
        <v>85</v>
      </c>
      <c r="B81" s="1001"/>
      <c r="C81" s="1001"/>
      <c r="D81" s="1001"/>
      <c r="E81" s="1001"/>
      <c r="F81" s="1001"/>
      <c r="G81" s="1001"/>
      <c r="H81" s="398">
        <f t="shared" ref="H81" si="19">SUM(H74:H80)</f>
        <v>9.1200000000000003E-2</v>
      </c>
      <c r="I81" s="407">
        <f t="shared" ref="I81:J81" si="20">TRUNC(SUM(I74:I80),2)</f>
        <v>129.76</v>
      </c>
      <c r="J81" s="407">
        <f t="shared" si="20"/>
        <v>134.62</v>
      </c>
    </row>
    <row r="82" spans="1:10" s="184" customFormat="1" ht="20.100000000000001" customHeight="1">
      <c r="A82" s="392" t="s">
        <v>61</v>
      </c>
      <c r="B82" s="988" t="s">
        <v>276</v>
      </c>
      <c r="C82" s="988"/>
      <c r="D82" s="988"/>
      <c r="E82" s="988"/>
      <c r="F82" s="988"/>
      <c r="G82" s="988"/>
      <c r="H82" s="409">
        <f>H46*H81</f>
        <v>3.0825600000000002E-2</v>
      </c>
      <c r="I82" s="406">
        <f>ROUND(H46*I81,2)</f>
        <v>43.86</v>
      </c>
      <c r="J82" s="406">
        <f>ROUND(H46*J81,2)</f>
        <v>45.5</v>
      </c>
    </row>
    <row r="83" spans="1:10" s="184" customFormat="1" ht="20.100000000000001" customHeight="1">
      <c r="A83" s="1001" t="s">
        <v>84</v>
      </c>
      <c r="B83" s="1001"/>
      <c r="C83" s="1001"/>
      <c r="D83" s="1001"/>
      <c r="E83" s="1001"/>
      <c r="F83" s="1001"/>
      <c r="G83" s="1001"/>
      <c r="H83" s="398">
        <f>H81+H82</f>
        <v>0.12202560000000001</v>
      </c>
      <c r="I83" s="407">
        <f t="shared" ref="I83:J83" si="21">TRUNC(SUM(I81:I82),2)</f>
        <v>173.62</v>
      </c>
      <c r="J83" s="407">
        <f t="shared" si="21"/>
        <v>180.12</v>
      </c>
    </row>
    <row r="84" spans="1:10" s="184" customFormat="1" ht="18" customHeight="1">
      <c r="A84" s="976" t="s">
        <v>275</v>
      </c>
      <c r="B84" s="976"/>
      <c r="C84" s="976"/>
      <c r="D84" s="976"/>
      <c r="E84" s="976"/>
      <c r="F84" s="976"/>
      <c r="G84" s="976"/>
      <c r="H84" s="976"/>
      <c r="I84" s="977"/>
      <c r="J84" s="977"/>
    </row>
    <row r="85" spans="1:10" s="184" customFormat="1" ht="20.100000000000001" customHeight="1">
      <c r="A85" s="394">
        <v>5</v>
      </c>
      <c r="B85" s="985" t="s">
        <v>70</v>
      </c>
      <c r="C85" s="985"/>
      <c r="D85" s="985"/>
      <c r="E85" s="985"/>
      <c r="F85" s="985"/>
      <c r="G85" s="985"/>
      <c r="H85" s="985"/>
      <c r="I85" s="404" t="s">
        <v>60</v>
      </c>
      <c r="J85" s="404" t="s">
        <v>60</v>
      </c>
    </row>
    <row r="86" spans="1:10" s="184" customFormat="1" ht="20.100000000000001" customHeight="1">
      <c r="A86" s="392" t="s">
        <v>38</v>
      </c>
      <c r="B86" s="988" t="s">
        <v>71</v>
      </c>
      <c r="C86" s="988"/>
      <c r="D86" s="988"/>
      <c r="E86" s="988"/>
      <c r="F86" s="988"/>
      <c r="G86" s="988"/>
      <c r="H86" s="989"/>
      <c r="I86" s="406">
        <f>Uniforme!I20</f>
        <v>0</v>
      </c>
      <c r="J86" s="406">
        <f>Uniforme!I20</f>
        <v>0</v>
      </c>
    </row>
    <row r="87" spans="1:10" s="184" customFormat="1" ht="20.100000000000001" customHeight="1">
      <c r="A87" s="392" t="s">
        <v>40</v>
      </c>
      <c r="B87" s="988" t="s">
        <v>72</v>
      </c>
      <c r="C87" s="988"/>
      <c r="D87" s="988"/>
      <c r="E87" s="988"/>
      <c r="F87" s="988"/>
      <c r="G87" s="988"/>
      <c r="H87" s="989"/>
      <c r="I87" s="406">
        <f>'Mat. Limpeza'!L60</f>
        <v>517.75927536231882</v>
      </c>
      <c r="J87" s="406">
        <f>'Mat. Limpeza'!L60</f>
        <v>517.75927536231882</v>
      </c>
    </row>
    <row r="88" spans="1:10" s="184" customFormat="1" ht="20.100000000000001" customHeight="1">
      <c r="A88" s="392" t="s">
        <v>42</v>
      </c>
      <c r="B88" s="988" t="s">
        <v>73</v>
      </c>
      <c r="C88" s="988"/>
      <c r="D88" s="988"/>
      <c r="E88" s="988"/>
      <c r="F88" s="988"/>
      <c r="G88" s="988"/>
      <c r="H88" s="989"/>
      <c r="I88" s="406">
        <f>'Eq. Limpeza'!L34</f>
        <v>16.791807065217395</v>
      </c>
      <c r="J88" s="406">
        <f>'Eq. Limpeza'!L34</f>
        <v>16.791807065217395</v>
      </c>
    </row>
    <row r="89" spans="1:10" s="184" customFormat="1" ht="20.100000000000001" customHeight="1">
      <c r="A89" s="392" t="s">
        <v>44</v>
      </c>
      <c r="B89" s="988" t="s">
        <v>74</v>
      </c>
      <c r="C89" s="988"/>
      <c r="D89" s="988"/>
      <c r="E89" s="988"/>
      <c r="F89" s="988"/>
      <c r="G89" s="988"/>
      <c r="H89" s="989"/>
      <c r="I89" s="406"/>
      <c r="J89" s="406"/>
    </row>
    <row r="90" spans="1:10" s="184" customFormat="1" ht="20.100000000000001" customHeight="1">
      <c r="A90" s="1001" t="s">
        <v>75</v>
      </c>
      <c r="B90" s="1001"/>
      <c r="C90" s="1001"/>
      <c r="D90" s="1001"/>
      <c r="E90" s="1001"/>
      <c r="F90" s="1001"/>
      <c r="G90" s="1001"/>
      <c r="H90" s="1001"/>
      <c r="I90" s="431">
        <f t="shared" ref="I90:J90" si="22">TRUNC(SUM(I86:I89),2)</f>
        <v>534.54999999999995</v>
      </c>
      <c r="J90" s="432">
        <f t="shared" si="22"/>
        <v>534.54999999999995</v>
      </c>
    </row>
    <row r="91" spans="1:10" s="184" customFormat="1" ht="20.100000000000001" customHeight="1">
      <c r="A91" s="999" t="s">
        <v>76</v>
      </c>
      <c r="B91" s="999"/>
      <c r="C91" s="999"/>
      <c r="D91" s="999"/>
      <c r="E91" s="999"/>
      <c r="F91" s="999"/>
      <c r="G91" s="999"/>
      <c r="H91" s="999"/>
      <c r="I91" s="999"/>
      <c r="J91" s="216"/>
    </row>
    <row r="92" spans="1:10" s="184" customFormat="1" ht="20.100000000000001" customHeight="1">
      <c r="A92" s="976" t="s">
        <v>274</v>
      </c>
      <c r="B92" s="976"/>
      <c r="C92" s="976"/>
      <c r="D92" s="976"/>
      <c r="E92" s="976"/>
      <c r="F92" s="976"/>
      <c r="G92" s="976"/>
      <c r="H92" s="976"/>
      <c r="I92" s="976"/>
      <c r="J92" s="976"/>
    </row>
    <row r="93" spans="1:10" s="184" customFormat="1" ht="25.2" customHeight="1">
      <c r="A93" s="394">
        <v>6</v>
      </c>
      <c r="B93" s="985" t="s">
        <v>88</v>
      </c>
      <c r="C93" s="985"/>
      <c r="D93" s="985"/>
      <c r="E93" s="985"/>
      <c r="F93" s="985"/>
      <c r="G93" s="985"/>
      <c r="H93" s="394" t="s">
        <v>59</v>
      </c>
      <c r="I93" s="429" t="s">
        <v>60</v>
      </c>
      <c r="J93" s="429" t="s">
        <v>60</v>
      </c>
    </row>
    <row r="94" spans="1:10" s="184" customFormat="1" ht="22.95" customHeight="1">
      <c r="A94" s="392" t="s">
        <v>38</v>
      </c>
      <c r="B94" s="988" t="s">
        <v>90</v>
      </c>
      <c r="C94" s="988"/>
      <c r="D94" s="988"/>
      <c r="E94" s="988"/>
      <c r="F94" s="988"/>
      <c r="G94" s="988"/>
      <c r="H94" s="425">
        <v>0</v>
      </c>
      <c r="I94" s="406">
        <f>ROUND(H94*I111,2)</f>
        <v>0</v>
      </c>
      <c r="J94" s="406">
        <f>ROUND(H94*J111,2)</f>
        <v>0</v>
      </c>
    </row>
    <row r="95" spans="1:10" s="184" customFormat="1" ht="21" customHeight="1">
      <c r="A95" s="392" t="s">
        <v>40</v>
      </c>
      <c r="B95" s="988" t="s">
        <v>91</v>
      </c>
      <c r="C95" s="988"/>
      <c r="D95" s="988"/>
      <c r="E95" s="988"/>
      <c r="F95" s="988"/>
      <c r="G95" s="988"/>
      <c r="H95" s="425">
        <v>0</v>
      </c>
      <c r="I95" s="406">
        <f>ROUND((I111+I94)*H95,2)</f>
        <v>0</v>
      </c>
      <c r="J95" s="406">
        <f>ROUND((J111+J94)*H95,2)</f>
        <v>0</v>
      </c>
    </row>
    <row r="96" spans="1:10" s="184" customFormat="1" ht="23.25" customHeight="1">
      <c r="A96" s="955" t="s">
        <v>42</v>
      </c>
      <c r="B96" s="988" t="s">
        <v>92</v>
      </c>
      <c r="C96" s="988"/>
      <c r="D96" s="988"/>
      <c r="E96" s="988"/>
      <c r="F96" s="988"/>
      <c r="G96" s="988"/>
      <c r="H96" s="426">
        <f>SUM(H98:H101)</f>
        <v>0</v>
      </c>
      <c r="I96" s="406">
        <f>TRUNC(SUM(I98:I101),2)</f>
        <v>0</v>
      </c>
      <c r="J96" s="406">
        <f>TRUNC(SUM(J98:J101),2)</f>
        <v>0</v>
      </c>
    </row>
    <row r="97" spans="1:10" s="184" customFormat="1" ht="20.100000000000001" customHeight="1">
      <c r="A97" s="955"/>
      <c r="B97" s="988" t="s">
        <v>343</v>
      </c>
      <c r="C97" s="988"/>
      <c r="D97" s="988"/>
      <c r="E97" s="988"/>
      <c r="F97" s="988"/>
      <c r="G97" s="988"/>
      <c r="H97" s="427"/>
      <c r="I97" s="406"/>
      <c r="J97" s="406"/>
    </row>
    <row r="98" spans="1:10" s="184" customFormat="1" ht="27.75" customHeight="1">
      <c r="A98" s="955"/>
      <c r="B98" s="1000" t="s">
        <v>354</v>
      </c>
      <c r="C98" s="1000"/>
      <c r="D98" s="1000"/>
      <c r="E98" s="1000"/>
      <c r="F98" s="1000"/>
      <c r="G98" s="1000"/>
      <c r="H98" s="428">
        <v>0</v>
      </c>
      <c r="I98" s="406">
        <f>ROUND(I113*H98,2)</f>
        <v>0</v>
      </c>
      <c r="J98" s="406">
        <f>ROUND(J113*H98,2)</f>
        <v>0</v>
      </c>
    </row>
    <row r="99" spans="1:10" s="184" customFormat="1" ht="20.100000000000001" customHeight="1">
      <c r="A99" s="955"/>
      <c r="B99" s="1000" t="s">
        <v>353</v>
      </c>
      <c r="C99" s="1000"/>
      <c r="D99" s="1000"/>
      <c r="E99" s="1000"/>
      <c r="F99" s="1000"/>
      <c r="G99" s="1000"/>
      <c r="H99" s="428">
        <v>0</v>
      </c>
      <c r="I99" s="406">
        <f>ROUND(I113*H99,2)</f>
        <v>0</v>
      </c>
      <c r="J99" s="406">
        <f>ROUND(J113*H99,2)</f>
        <v>0</v>
      </c>
    </row>
    <row r="100" spans="1:10" s="184" customFormat="1" ht="20.100000000000001" customHeight="1">
      <c r="A100" s="955"/>
      <c r="B100" s="988" t="s">
        <v>352</v>
      </c>
      <c r="C100" s="1000"/>
      <c r="D100" s="1000"/>
      <c r="E100" s="1000"/>
      <c r="F100" s="1000"/>
      <c r="G100" s="1000"/>
      <c r="H100" s="428">
        <v>0</v>
      </c>
      <c r="I100" s="406">
        <f>ROUND(I113*H100,2)</f>
        <v>0</v>
      </c>
      <c r="J100" s="406">
        <f>ROUND(J113*H100,2)</f>
        <v>0</v>
      </c>
    </row>
    <row r="101" spans="1:10" s="184" customFormat="1" ht="20.100000000000001" customHeight="1">
      <c r="A101" s="1339"/>
      <c r="B101" s="988" t="s">
        <v>675</v>
      </c>
      <c r="C101" s="1000"/>
      <c r="D101" s="1000"/>
      <c r="E101" s="1000"/>
      <c r="F101" s="1000"/>
      <c r="G101" s="1000"/>
      <c r="H101" s="428">
        <v>0</v>
      </c>
      <c r="I101" s="406">
        <f>ROUND(I113*H101,2)</f>
        <v>0</v>
      </c>
      <c r="J101" s="481">
        <f>ROUND(J113*H101,2)</f>
        <v>0</v>
      </c>
    </row>
    <row r="102" spans="1:10" s="184" customFormat="1" ht="16.5" customHeight="1">
      <c r="A102" s="1001" t="s">
        <v>344</v>
      </c>
      <c r="B102" s="1001"/>
      <c r="C102" s="1001"/>
      <c r="D102" s="1001"/>
      <c r="E102" s="1001"/>
      <c r="F102" s="1001"/>
      <c r="G102" s="1001"/>
      <c r="H102" s="1007"/>
      <c r="I102" s="407">
        <f t="shared" ref="I102:J102" si="23">TRUNC(SUM(I94:I96),2)</f>
        <v>0</v>
      </c>
      <c r="J102" s="407">
        <f t="shared" si="23"/>
        <v>0</v>
      </c>
    </row>
    <row r="103" spans="1:10" s="184" customFormat="1" ht="20.100000000000001" customHeight="1">
      <c r="A103" s="997"/>
      <c r="B103" s="997"/>
      <c r="C103" s="997"/>
      <c r="D103" s="997"/>
      <c r="E103" s="997"/>
      <c r="F103" s="997"/>
      <c r="G103" s="997"/>
      <c r="H103" s="997"/>
      <c r="I103" s="998"/>
      <c r="J103" s="430"/>
    </row>
    <row r="104" spans="1:10" s="184" customFormat="1" ht="20.100000000000001" customHeight="1">
      <c r="A104" s="1008" t="s">
        <v>218</v>
      </c>
      <c r="B104" s="1008"/>
      <c r="C104" s="1008"/>
      <c r="D104" s="1008"/>
      <c r="E104" s="1008"/>
      <c r="F104" s="1008"/>
      <c r="G104" s="1008"/>
      <c r="H104" s="1008"/>
      <c r="I104" s="1008"/>
      <c r="J104" s="1008"/>
    </row>
    <row r="105" spans="1:10" s="184" customFormat="1" ht="22.2" customHeight="1">
      <c r="A105" s="985" t="s">
        <v>93</v>
      </c>
      <c r="B105" s="985"/>
      <c r="C105" s="985"/>
      <c r="D105" s="985"/>
      <c r="E105" s="985"/>
      <c r="F105" s="985"/>
      <c r="G105" s="985"/>
      <c r="H105" s="985"/>
      <c r="I105" s="404" t="s">
        <v>60</v>
      </c>
      <c r="J105" s="404" t="s">
        <v>60</v>
      </c>
    </row>
    <row r="106" spans="1:10" s="184" customFormat="1" ht="20.100000000000001" customHeight="1">
      <c r="A106" s="192" t="s">
        <v>38</v>
      </c>
      <c r="B106" s="988" t="s">
        <v>94</v>
      </c>
      <c r="C106" s="988"/>
      <c r="D106" s="988"/>
      <c r="E106" s="988"/>
      <c r="F106" s="988"/>
      <c r="G106" s="988"/>
      <c r="H106" s="989"/>
      <c r="I106" s="406">
        <f t="shared" ref="I106:J106" si="24">I27</f>
        <v>1422.8</v>
      </c>
      <c r="J106" s="406">
        <f t="shared" si="24"/>
        <v>1476.06</v>
      </c>
    </row>
    <row r="107" spans="1:10" s="184" customFormat="1" ht="20.100000000000001" customHeight="1">
      <c r="A107" s="192" t="s">
        <v>40</v>
      </c>
      <c r="B107" s="988" t="s">
        <v>273</v>
      </c>
      <c r="C107" s="988"/>
      <c r="D107" s="988"/>
      <c r="E107" s="988"/>
      <c r="F107" s="988"/>
      <c r="G107" s="988"/>
      <c r="H107" s="989"/>
      <c r="I107" s="406">
        <f t="shared" ref="I107:J107" si="25">I62</f>
        <v>1112.99</v>
      </c>
      <c r="J107" s="406">
        <f t="shared" si="25"/>
        <v>1139.04</v>
      </c>
    </row>
    <row r="108" spans="1:10" s="184" customFormat="1" ht="20.100000000000001" customHeight="1">
      <c r="A108" s="192" t="s">
        <v>42</v>
      </c>
      <c r="B108" s="988" t="s">
        <v>272</v>
      </c>
      <c r="C108" s="988"/>
      <c r="D108" s="988"/>
      <c r="E108" s="988"/>
      <c r="F108" s="988"/>
      <c r="G108" s="988"/>
      <c r="H108" s="989"/>
      <c r="I108" s="406">
        <f t="shared" ref="I108:J108" si="26">I71</f>
        <v>108.06</v>
      </c>
      <c r="J108" s="406">
        <f t="shared" si="26"/>
        <v>112.12</v>
      </c>
    </row>
    <row r="109" spans="1:10" s="184" customFormat="1" ht="20.100000000000001" customHeight="1">
      <c r="A109" s="192" t="s">
        <v>44</v>
      </c>
      <c r="B109" s="988" t="s">
        <v>271</v>
      </c>
      <c r="C109" s="988"/>
      <c r="D109" s="988"/>
      <c r="E109" s="988"/>
      <c r="F109" s="988"/>
      <c r="G109" s="988"/>
      <c r="H109" s="989"/>
      <c r="I109" s="406">
        <f t="shared" ref="I109:J109" si="27">I83</f>
        <v>173.62</v>
      </c>
      <c r="J109" s="406">
        <f t="shared" si="27"/>
        <v>180.12</v>
      </c>
    </row>
    <row r="110" spans="1:10" s="184" customFormat="1" ht="20.100000000000001" customHeight="1">
      <c r="A110" s="192" t="s">
        <v>27</v>
      </c>
      <c r="B110" s="988" t="s">
        <v>270</v>
      </c>
      <c r="C110" s="988"/>
      <c r="D110" s="988"/>
      <c r="E110" s="988"/>
      <c r="F110" s="988"/>
      <c r="G110" s="988"/>
      <c r="H110" s="989"/>
      <c r="I110" s="406">
        <f t="shared" ref="I110:J110" si="28">I90</f>
        <v>534.54999999999995</v>
      </c>
      <c r="J110" s="406">
        <f t="shared" si="28"/>
        <v>534.54999999999995</v>
      </c>
    </row>
    <row r="111" spans="1:10" s="184" customFormat="1" ht="20.100000000000001" customHeight="1">
      <c r="A111" s="1002" t="s">
        <v>342</v>
      </c>
      <c r="B111" s="1002"/>
      <c r="C111" s="1002"/>
      <c r="D111" s="1002"/>
      <c r="E111" s="1002"/>
      <c r="F111" s="1002"/>
      <c r="G111" s="1002"/>
      <c r="H111" s="1003"/>
      <c r="I111" s="407">
        <f t="shared" ref="I111:J111" si="29">TRUNC(SUM(I106:I110),2)</f>
        <v>3352.02</v>
      </c>
      <c r="J111" s="407">
        <f t="shared" si="29"/>
        <v>3441.89</v>
      </c>
    </row>
    <row r="112" spans="1:10" s="184" customFormat="1" ht="20.100000000000001" customHeight="1">
      <c r="A112" s="223" t="s">
        <v>67</v>
      </c>
      <c r="B112" s="988" t="s">
        <v>269</v>
      </c>
      <c r="C112" s="988"/>
      <c r="D112" s="988"/>
      <c r="E112" s="988"/>
      <c r="F112" s="988"/>
      <c r="G112" s="988"/>
      <c r="H112" s="989"/>
      <c r="I112" s="406">
        <f t="shared" ref="I112:J112" si="30">I102</f>
        <v>0</v>
      </c>
      <c r="J112" s="406">
        <f t="shared" si="30"/>
        <v>0</v>
      </c>
    </row>
    <row r="113" spans="1:222" s="184" customFormat="1" ht="20.100000000000001" customHeight="1">
      <c r="A113" s="1004" t="s">
        <v>95</v>
      </c>
      <c r="B113" s="1004"/>
      <c r="C113" s="1004"/>
      <c r="D113" s="1004"/>
      <c r="E113" s="1004"/>
      <c r="F113" s="1004"/>
      <c r="G113" s="1004"/>
      <c r="H113" s="1005"/>
      <c r="I113" s="436">
        <f>TRUNC((I111+I94+I95)/(1-H96),2)</f>
        <v>3352.02</v>
      </c>
      <c r="J113" s="436">
        <f>TRUNC((J111+J94+J95)/(1-H96),2)</f>
        <v>3441.89</v>
      </c>
    </row>
    <row r="114" spans="1:222" ht="20.100000000000001" customHeight="1">
      <c r="A114" s="193"/>
      <c r="B114" s="193"/>
      <c r="C114" s="193"/>
      <c r="D114" s="193"/>
      <c r="E114" s="193"/>
      <c r="F114" s="193"/>
      <c r="G114" s="193"/>
      <c r="H114" s="194"/>
      <c r="I114" s="195"/>
      <c r="J114" s="195"/>
      <c r="K114"/>
      <c r="HD114" s="185"/>
      <c r="HE114" s="185"/>
      <c r="HF114" s="185"/>
      <c r="HG114" s="185"/>
      <c r="HH114" s="185"/>
      <c r="HI114" s="185"/>
      <c r="HJ114" s="185"/>
      <c r="HK114" s="185"/>
      <c r="HL114" s="185"/>
      <c r="HM114" s="185"/>
      <c r="HN114" s="185"/>
    </row>
    <row r="115" spans="1:222" ht="36.6" customHeight="1">
      <c r="A115" s="958" t="s">
        <v>338</v>
      </c>
      <c r="B115" s="958"/>
      <c r="C115" s="958"/>
      <c r="D115" s="958"/>
      <c r="E115" s="958"/>
      <c r="F115" s="958"/>
      <c r="G115" s="958"/>
      <c r="H115" s="958"/>
      <c r="I115" s="958"/>
      <c r="J115" s="958"/>
      <c r="HD115" s="185"/>
      <c r="HE115" s="185"/>
      <c r="HF115" s="185"/>
      <c r="HG115" s="185"/>
      <c r="HH115" s="185"/>
      <c r="HI115" s="185"/>
      <c r="HJ115" s="185"/>
      <c r="HK115" s="185"/>
      <c r="HL115" s="185"/>
      <c r="HM115" s="185"/>
      <c r="HN115" s="185"/>
    </row>
    <row r="116" spans="1:222" ht="22.95" customHeight="1">
      <c r="A116" s="225" t="s">
        <v>12</v>
      </c>
      <c r="B116" s="1006" t="s">
        <v>96</v>
      </c>
      <c r="C116" s="1006"/>
      <c r="D116" s="225" t="s">
        <v>349</v>
      </c>
      <c r="E116" s="225" t="s">
        <v>14</v>
      </c>
      <c r="F116" s="225" t="s">
        <v>350</v>
      </c>
      <c r="G116" s="225" t="s">
        <v>348</v>
      </c>
      <c r="H116" s="225" t="s">
        <v>351</v>
      </c>
      <c r="I116" s="423" t="s">
        <v>340</v>
      </c>
      <c r="J116" s="423" t="s">
        <v>615</v>
      </c>
      <c r="HD116" s="185"/>
      <c r="HE116" s="185"/>
      <c r="HF116" s="185"/>
      <c r="HG116" s="185"/>
      <c r="HH116" s="185"/>
      <c r="HI116" s="185"/>
      <c r="HJ116" s="185"/>
      <c r="HK116" s="185"/>
      <c r="HL116" s="185"/>
      <c r="HM116" s="185"/>
      <c r="HN116" s="185"/>
    </row>
    <row r="117" spans="1:222" ht="25.2" customHeight="1">
      <c r="A117" s="994" t="s">
        <v>19</v>
      </c>
      <c r="B117" s="992" t="s">
        <v>20</v>
      </c>
      <c r="C117" s="992"/>
      <c r="D117" s="234">
        <f>'Área Total'!D28</f>
        <v>892.43999999999994</v>
      </c>
      <c r="E117" s="235">
        <v>800</v>
      </c>
      <c r="F117" s="236">
        <f t="shared" ref="F117:F122" si="31">1/E117</f>
        <v>1.25E-3</v>
      </c>
      <c r="G117" s="237">
        <f>I113</f>
        <v>3352.02</v>
      </c>
      <c r="H117" s="421">
        <f>ROUND((F117*G117),2)</f>
        <v>4.1900000000000004</v>
      </c>
      <c r="I117" s="424">
        <f>ROUND((H117*D117),2)</f>
        <v>3739.32</v>
      </c>
      <c r="J117" s="424">
        <f>I117*20</f>
        <v>74786.400000000009</v>
      </c>
      <c r="HD117" s="185"/>
      <c r="HE117" s="185"/>
      <c r="HF117" s="185"/>
      <c r="HG117" s="185"/>
      <c r="HH117" s="185"/>
      <c r="HI117" s="185"/>
      <c r="HJ117" s="185"/>
      <c r="HK117" s="185"/>
      <c r="HL117" s="185"/>
      <c r="HM117" s="185"/>
      <c r="HN117" s="185"/>
    </row>
    <row r="118" spans="1:222" ht="21.75" customHeight="1">
      <c r="A118" s="995"/>
      <c r="B118" s="975" t="s">
        <v>220</v>
      </c>
      <c r="C118" s="975"/>
      <c r="D118" s="245">
        <f>'Área Total'!D29</f>
        <v>43.71</v>
      </c>
      <c r="E118" s="246">
        <v>200</v>
      </c>
      <c r="F118" s="196">
        <f t="shared" si="31"/>
        <v>5.0000000000000001E-3</v>
      </c>
      <c r="G118" s="247">
        <f>J113</f>
        <v>3441.89</v>
      </c>
      <c r="H118" s="422">
        <f t="shared" ref="H118:H123" si="32">ROUND((F118*G118),2)</f>
        <v>17.21</v>
      </c>
      <c r="I118" s="424">
        <f t="shared" ref="I118:I123" si="33">ROUND((H118*D118),2)</f>
        <v>752.25</v>
      </c>
      <c r="J118" s="424">
        <f t="shared" ref="J118" si="34">I118*12</f>
        <v>9027</v>
      </c>
      <c r="HD118" s="185"/>
      <c r="HE118" s="185"/>
      <c r="HF118" s="185"/>
      <c r="HG118" s="185"/>
      <c r="HH118" s="185"/>
      <c r="HI118" s="185"/>
      <c r="HJ118" s="185"/>
      <c r="HK118" s="185"/>
      <c r="HL118" s="185"/>
      <c r="HM118" s="185"/>
      <c r="HN118" s="185"/>
    </row>
    <row r="119" spans="1:222" ht="22.95" customHeight="1">
      <c r="A119" s="995"/>
      <c r="B119" s="992" t="s">
        <v>387</v>
      </c>
      <c r="C119" s="992"/>
      <c r="D119" s="238">
        <f>'Área Total'!D30</f>
        <v>50.6</v>
      </c>
      <c r="E119" s="235">
        <v>1000</v>
      </c>
      <c r="F119" s="240">
        <f t="shared" si="31"/>
        <v>1E-3</v>
      </c>
      <c r="G119" s="237">
        <f>I113</f>
        <v>3352.02</v>
      </c>
      <c r="H119" s="421">
        <f t="shared" si="32"/>
        <v>3.35</v>
      </c>
      <c r="I119" s="424">
        <f t="shared" si="33"/>
        <v>169.51</v>
      </c>
      <c r="J119" s="424">
        <f>I119*20</f>
        <v>3390.2</v>
      </c>
      <c r="HD119" s="185"/>
      <c r="HE119" s="185"/>
      <c r="HF119" s="185"/>
      <c r="HG119" s="185"/>
      <c r="HH119" s="185"/>
      <c r="HI119" s="185"/>
      <c r="HJ119" s="185"/>
      <c r="HK119" s="185"/>
      <c r="HL119" s="185"/>
      <c r="HM119" s="185"/>
      <c r="HN119" s="185"/>
    </row>
    <row r="120" spans="1:222" ht="24" customHeight="1">
      <c r="A120" s="995"/>
      <c r="B120" s="992" t="s">
        <v>462</v>
      </c>
      <c r="C120" s="992"/>
      <c r="D120" s="238">
        <f>'Área Total'!D31</f>
        <v>60</v>
      </c>
      <c r="E120" s="235">
        <v>1500</v>
      </c>
      <c r="F120" s="239">
        <f t="shared" si="31"/>
        <v>6.6666666666666664E-4</v>
      </c>
      <c r="G120" s="237">
        <f>I113</f>
        <v>3352.02</v>
      </c>
      <c r="H120" s="421">
        <f t="shared" si="32"/>
        <v>2.23</v>
      </c>
      <c r="I120" s="424">
        <f t="shared" si="33"/>
        <v>133.80000000000001</v>
      </c>
      <c r="J120" s="424">
        <f>I120*20</f>
        <v>2676</v>
      </c>
    </row>
    <row r="121" spans="1:222" ht="34.950000000000003" customHeight="1">
      <c r="A121" s="994" t="s">
        <v>22</v>
      </c>
      <c r="B121" s="993" t="s">
        <v>97</v>
      </c>
      <c r="C121" s="993"/>
      <c r="D121" s="241">
        <f>'Área Total'!D32+'Área Total'!D33+'Área Total'!D34</f>
        <v>1967.4</v>
      </c>
      <c r="E121" s="235">
        <v>1800</v>
      </c>
      <c r="F121" s="239">
        <f t="shared" si="31"/>
        <v>5.5555555555555556E-4</v>
      </c>
      <c r="G121" s="237">
        <f>I113</f>
        <v>3352.02</v>
      </c>
      <c r="H121" s="421">
        <f t="shared" si="32"/>
        <v>1.86</v>
      </c>
      <c r="I121" s="424">
        <f t="shared" si="33"/>
        <v>3659.36</v>
      </c>
      <c r="J121" s="424">
        <f>I121*20</f>
        <v>73187.199999999997</v>
      </c>
    </row>
    <row r="122" spans="1:222" ht="36.6" customHeight="1">
      <c r="A122" s="995"/>
      <c r="B122" s="993" t="s">
        <v>463</v>
      </c>
      <c r="C122" s="993"/>
      <c r="D122" s="241">
        <f>'Área Total'!D35+'Área Total'!D36</f>
        <v>1915.55</v>
      </c>
      <c r="E122" s="235">
        <v>2700</v>
      </c>
      <c r="F122" s="239">
        <f t="shared" si="31"/>
        <v>3.7037037037037035E-4</v>
      </c>
      <c r="G122" s="237">
        <f>I113</f>
        <v>3352.02</v>
      </c>
      <c r="H122" s="421">
        <f t="shared" si="32"/>
        <v>1.24</v>
      </c>
      <c r="I122" s="424">
        <f t="shared" si="33"/>
        <v>2375.2800000000002</v>
      </c>
      <c r="J122" s="424">
        <f>I122*20</f>
        <v>47505.600000000006</v>
      </c>
    </row>
    <row r="123" spans="1:222" ht="28.2" customHeight="1">
      <c r="A123" s="693" t="s">
        <v>27</v>
      </c>
      <c r="B123" s="1041" t="s">
        <v>225</v>
      </c>
      <c r="C123" s="1041"/>
      <c r="D123" s="694">
        <f>'Área Total'!D37+'Área Total'!D38</f>
        <v>290.88</v>
      </c>
      <c r="E123" s="235">
        <v>300</v>
      </c>
      <c r="F123" s="239">
        <f>(1/300)*16*(1/188.76)</f>
        <v>2.8254573709119167E-4</v>
      </c>
      <c r="G123" s="237">
        <f>I113</f>
        <v>3352.02</v>
      </c>
      <c r="H123" s="696">
        <f t="shared" si="32"/>
        <v>0.95</v>
      </c>
      <c r="I123" s="704">
        <f t="shared" si="33"/>
        <v>276.33999999999997</v>
      </c>
      <c r="J123" s="704">
        <f>I123*20</f>
        <v>5526.7999999999993</v>
      </c>
    </row>
    <row r="124" spans="1:222" ht="19.2" customHeight="1">
      <c r="A124" s="1042"/>
      <c r="B124" s="1042"/>
      <c r="C124" s="1042"/>
      <c r="D124" s="695">
        <f>SUM(D117:D123)</f>
        <v>5220.58</v>
      </c>
      <c r="E124" s="687"/>
      <c r="F124" s="687"/>
      <c r="G124" s="687"/>
      <c r="H124" s="687"/>
      <c r="I124" s="700"/>
      <c r="J124" s="446"/>
    </row>
    <row r="125" spans="1:222">
      <c r="A125" s="1052" t="s">
        <v>339</v>
      </c>
      <c r="B125" s="1052"/>
      <c r="C125" s="1052"/>
      <c r="D125" s="1052"/>
      <c r="E125" s="990"/>
      <c r="F125" s="990"/>
      <c r="G125" s="990"/>
      <c r="H125" s="1052"/>
      <c r="I125" s="705">
        <f>TRUNC(SUM(I117:I124),2)</f>
        <v>11105.86</v>
      </c>
      <c r="J125" s="705">
        <f>SUM(J117:J124)</f>
        <v>216099.19999999998</v>
      </c>
    </row>
    <row r="126" spans="1:222" ht="19.2" customHeight="1">
      <c r="J126" s="244"/>
    </row>
    <row r="127" spans="1:222" ht="20.399999999999999" customHeight="1">
      <c r="A127" s="961" t="s">
        <v>346</v>
      </c>
      <c r="B127" s="961"/>
      <c r="C127" s="961"/>
      <c r="D127" s="961"/>
      <c r="E127" s="961"/>
      <c r="F127" s="961"/>
      <c r="G127" s="961"/>
      <c r="H127" s="962"/>
      <c r="I127" s="437">
        <f>I125-I118</f>
        <v>10353.61</v>
      </c>
      <c r="J127" s="437">
        <f>I127*20</f>
        <v>207072.2</v>
      </c>
    </row>
    <row r="128" spans="1:222">
      <c r="A128" s="963" t="s">
        <v>347</v>
      </c>
      <c r="B128" s="964"/>
      <c r="C128" s="964"/>
      <c r="D128" s="964"/>
      <c r="E128" s="964"/>
      <c r="F128" s="964"/>
      <c r="G128" s="964"/>
      <c r="H128" s="965"/>
      <c r="I128" s="437">
        <f>I118</f>
        <v>752.25</v>
      </c>
      <c r="J128" s="437">
        <f>I128*20</f>
        <v>15045</v>
      </c>
    </row>
    <row r="129" spans="4:13">
      <c r="J129" s="218"/>
    </row>
    <row r="130" spans="4:13" ht="15" customHeight="1">
      <c r="D130" s="1043"/>
      <c r="E130" s="1043"/>
      <c r="F130" s="1043"/>
      <c r="G130" s="1043"/>
      <c r="H130" s="615"/>
      <c r="I130" s="616"/>
      <c r="J130" s="616"/>
    </row>
    <row r="131" spans="4:13" ht="15" customHeight="1">
      <c r="D131" s="617"/>
      <c r="E131" s="617"/>
      <c r="F131" s="617"/>
      <c r="G131" s="617"/>
      <c r="H131" s="615"/>
      <c r="I131" s="616"/>
      <c r="J131" s="616"/>
    </row>
    <row r="132" spans="4:13" ht="15" customHeight="1">
      <c r="D132" s="1040"/>
      <c r="E132" s="1040"/>
      <c r="F132" s="1040"/>
      <c r="G132" s="1040"/>
      <c r="H132" s="1040"/>
      <c r="I132" s="1040"/>
      <c r="J132" s="1040"/>
      <c r="K132" s="610"/>
      <c r="L132" s="610"/>
      <c r="M132" s="610"/>
    </row>
    <row r="133" spans="4:13">
      <c r="D133" s="1040"/>
      <c r="E133" s="1040"/>
      <c r="F133" s="1040"/>
      <c r="G133" s="1040"/>
      <c r="H133" s="1040"/>
      <c r="I133" s="1040"/>
      <c r="J133" s="1040"/>
    </row>
  </sheetData>
  <mergeCells count="171">
    <mergeCell ref="B112:H112"/>
    <mergeCell ref="A113:H113"/>
    <mergeCell ref="A125:H125"/>
    <mergeCell ref="B120:C120"/>
    <mergeCell ref="B121:C121"/>
    <mergeCell ref="B122:C122"/>
    <mergeCell ref="B117:C117"/>
    <mergeCell ref="B118:C118"/>
    <mergeCell ref="B119:C119"/>
    <mergeCell ref="B107:H107"/>
    <mergeCell ref="B94:G94"/>
    <mergeCell ref="B95:G95"/>
    <mergeCell ref="B96:G96"/>
    <mergeCell ref="B97:G97"/>
    <mergeCell ref="B98:G98"/>
    <mergeCell ref="B99:G99"/>
    <mergeCell ref="B100:G100"/>
    <mergeCell ref="A111:H111"/>
    <mergeCell ref="B108:H108"/>
    <mergeCell ref="B109:H109"/>
    <mergeCell ref="B110:H110"/>
    <mergeCell ref="B101:G101"/>
    <mergeCell ref="B89:H89"/>
    <mergeCell ref="A90:H90"/>
    <mergeCell ref="A91:I91"/>
    <mergeCell ref="B80:G80"/>
    <mergeCell ref="A81:G81"/>
    <mergeCell ref="B82:G82"/>
    <mergeCell ref="A83:G83"/>
    <mergeCell ref="A84:J84"/>
    <mergeCell ref="B85:H85"/>
    <mergeCell ref="B51:H51"/>
    <mergeCell ref="B52:H52"/>
    <mergeCell ref="B53:H53"/>
    <mergeCell ref="B54:H54"/>
    <mergeCell ref="A62:G62"/>
    <mergeCell ref="A63:J63"/>
    <mergeCell ref="B64:H64"/>
    <mergeCell ref="B65:G65"/>
    <mergeCell ref="B66:G66"/>
    <mergeCell ref="A56:I56"/>
    <mergeCell ref="A57:J57"/>
    <mergeCell ref="B58:G58"/>
    <mergeCell ref="B59:G59"/>
    <mergeCell ref="B60:G60"/>
    <mergeCell ref="B61:G61"/>
    <mergeCell ref="B55:H55"/>
    <mergeCell ref="A33:G33"/>
    <mergeCell ref="B34:G34"/>
    <mergeCell ref="A35:G35"/>
    <mergeCell ref="A36:J36"/>
    <mergeCell ref="B45:G45"/>
    <mergeCell ref="A46:G46"/>
    <mergeCell ref="A47:J47"/>
    <mergeCell ref="B48:H48"/>
    <mergeCell ref="B43:G43"/>
    <mergeCell ref="B44:G44"/>
    <mergeCell ref="A11:J11"/>
    <mergeCell ref="B15:H15"/>
    <mergeCell ref="I15:J15"/>
    <mergeCell ref="B16:H16"/>
    <mergeCell ref="I16:J16"/>
    <mergeCell ref="B17:H17"/>
    <mergeCell ref="I17:J17"/>
    <mergeCell ref="B12:H12"/>
    <mergeCell ref="I12:J12"/>
    <mergeCell ref="B13:H13"/>
    <mergeCell ref="I13:J13"/>
    <mergeCell ref="B14:H14"/>
    <mergeCell ref="I14:J14"/>
    <mergeCell ref="A1:H1"/>
    <mergeCell ref="I1:J1"/>
    <mergeCell ref="A2:H2"/>
    <mergeCell ref="A3:J3"/>
    <mergeCell ref="B7:H7"/>
    <mergeCell ref="I7:J7"/>
    <mergeCell ref="A8:J8"/>
    <mergeCell ref="A10:F10"/>
    <mergeCell ref="G10:H10"/>
    <mergeCell ref="I10:J10"/>
    <mergeCell ref="B4:H4"/>
    <mergeCell ref="I4:J4"/>
    <mergeCell ref="A9:F9"/>
    <mergeCell ref="G9:H9"/>
    <mergeCell ref="I9:J9"/>
    <mergeCell ref="B5:H5"/>
    <mergeCell ref="I5:J5"/>
    <mergeCell ref="B6:H6"/>
    <mergeCell ref="I6:J6"/>
    <mergeCell ref="BJ48:BQ48"/>
    <mergeCell ref="BR48:BY48"/>
    <mergeCell ref="BZ48:CG48"/>
    <mergeCell ref="B18:H18"/>
    <mergeCell ref="I18:J18"/>
    <mergeCell ref="A20:H20"/>
    <mergeCell ref="A21:J21"/>
    <mergeCell ref="B22:G22"/>
    <mergeCell ref="B23:H23"/>
    <mergeCell ref="B25:G25"/>
    <mergeCell ref="B26:H26"/>
    <mergeCell ref="A27:H27"/>
    <mergeCell ref="A28:J28"/>
    <mergeCell ref="B30:G30"/>
    <mergeCell ref="B24:G24"/>
    <mergeCell ref="A29:J29"/>
    <mergeCell ref="B37:G37"/>
    <mergeCell ref="B38:G38"/>
    <mergeCell ref="B39:G39"/>
    <mergeCell ref="B40:G40"/>
    <mergeCell ref="B41:G41"/>
    <mergeCell ref="B42:G42"/>
    <mergeCell ref="B31:G31"/>
    <mergeCell ref="B32:G32"/>
    <mergeCell ref="FB48:FI48"/>
    <mergeCell ref="FJ48:FQ48"/>
    <mergeCell ref="FR48:FY48"/>
    <mergeCell ref="FZ48:GG48"/>
    <mergeCell ref="GH48:GO48"/>
    <mergeCell ref="GP48:GW48"/>
    <mergeCell ref="GX48:HE48"/>
    <mergeCell ref="B49:E49"/>
    <mergeCell ref="B50:F50"/>
    <mergeCell ref="CH48:CO48"/>
    <mergeCell ref="CP48:CW48"/>
    <mergeCell ref="CX48:DE48"/>
    <mergeCell ref="DF48:DM48"/>
    <mergeCell ref="DN48:DU48"/>
    <mergeCell ref="DV48:EC48"/>
    <mergeCell ref="ED48:EK48"/>
    <mergeCell ref="EL48:ES48"/>
    <mergeCell ref="ET48:FA48"/>
    <mergeCell ref="K48:O48"/>
    <mergeCell ref="V48:AC48"/>
    <mergeCell ref="AD48:AK48"/>
    <mergeCell ref="AL48:AS48"/>
    <mergeCell ref="AT48:BA48"/>
    <mergeCell ref="BB48:BI48"/>
    <mergeCell ref="A92:J92"/>
    <mergeCell ref="B93:G93"/>
    <mergeCell ref="A96:A100"/>
    <mergeCell ref="A102:H102"/>
    <mergeCell ref="A103:I103"/>
    <mergeCell ref="A104:J104"/>
    <mergeCell ref="A105:H105"/>
    <mergeCell ref="B106:H106"/>
    <mergeCell ref="B67:G67"/>
    <mergeCell ref="B74:G74"/>
    <mergeCell ref="B75:G75"/>
    <mergeCell ref="B76:G76"/>
    <mergeCell ref="B77:G77"/>
    <mergeCell ref="B78:G78"/>
    <mergeCell ref="B79:G79"/>
    <mergeCell ref="B68:G68"/>
    <mergeCell ref="B69:G69"/>
    <mergeCell ref="B70:G70"/>
    <mergeCell ref="A71:G71"/>
    <mergeCell ref="A72:J72"/>
    <mergeCell ref="B73:H73"/>
    <mergeCell ref="B86:H86"/>
    <mergeCell ref="B87:H87"/>
    <mergeCell ref="B88:H88"/>
    <mergeCell ref="D132:J133"/>
    <mergeCell ref="A127:H127"/>
    <mergeCell ref="A128:H128"/>
    <mergeCell ref="A115:J115"/>
    <mergeCell ref="B116:C116"/>
    <mergeCell ref="A117:A120"/>
    <mergeCell ref="A121:A122"/>
    <mergeCell ref="B123:C123"/>
    <mergeCell ref="A124:C124"/>
    <mergeCell ref="D130:G130"/>
  </mergeCells>
  <pageMargins left="0.23622047244094491" right="0.23622047244094491" top="0.74803149606299213" bottom="0.74803149606299213" header="0.31496062992125984" footer="0.31496062992125984"/>
  <pageSetup paperSize="9" scale="10" firstPageNumber="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L136"/>
  <sheetViews>
    <sheetView showGridLines="0" workbookViewId="0">
      <pane ySplit="3" topLeftCell="A88" activePane="bottomLeft" state="frozen"/>
      <selection pane="bottomLeft" activeCell="B101" sqref="B101:G101"/>
    </sheetView>
  </sheetViews>
  <sheetFormatPr defaultColWidth="8.88671875" defaultRowHeight="13.8"/>
  <cols>
    <col min="1" max="1" width="5.5546875" style="184" customWidth="1"/>
    <col min="2" max="3" width="8.88671875" style="184"/>
    <col min="4" max="4" width="10.6640625" style="184" customWidth="1"/>
    <col min="5" max="5" width="8.88671875" style="184"/>
    <col min="6" max="6" width="9.5546875" style="184" customWidth="1"/>
    <col min="7" max="7" width="14.21875" style="184" customWidth="1"/>
    <col min="8" max="8" width="12.21875" style="201" customWidth="1"/>
    <col min="9" max="9" width="11.88671875" style="202" customWidth="1"/>
    <col min="10" max="10" width="13.33203125" style="202" customWidth="1"/>
    <col min="11" max="15" width="8.88671875" style="184"/>
    <col min="16" max="16" width="11.6640625" style="184" customWidth="1"/>
    <col min="17" max="220" width="8.88671875" style="184"/>
    <col min="221" max="16384" width="8.88671875" style="185"/>
  </cols>
  <sheetData>
    <row r="1" spans="1:10" s="184" customFormat="1" ht="21" customHeight="1">
      <c r="A1" s="947" t="s">
        <v>10</v>
      </c>
      <c r="B1" s="948"/>
      <c r="C1" s="948"/>
      <c r="D1" s="948"/>
      <c r="E1" s="948"/>
      <c r="F1" s="948"/>
      <c r="G1" s="948"/>
      <c r="H1" s="948"/>
      <c r="I1" s="951" t="s">
        <v>296</v>
      </c>
      <c r="J1" s="951"/>
    </row>
    <row r="2" spans="1:10" s="184" customFormat="1" ht="27.6" customHeight="1">
      <c r="A2" s="949" t="s">
        <v>345</v>
      </c>
      <c r="B2" s="950"/>
      <c r="C2" s="950"/>
      <c r="D2" s="950"/>
      <c r="E2" s="950"/>
      <c r="F2" s="950"/>
      <c r="G2" s="950"/>
      <c r="H2" s="950"/>
      <c r="I2" s="724" t="s">
        <v>589</v>
      </c>
      <c r="J2" s="725" t="s">
        <v>590</v>
      </c>
    </row>
    <row r="3" spans="1:10" s="184" customFormat="1" ht="20.100000000000001" customHeight="1">
      <c r="A3" s="966" t="s">
        <v>37</v>
      </c>
      <c r="B3" s="967"/>
      <c r="C3" s="967"/>
      <c r="D3" s="967"/>
      <c r="E3" s="967"/>
      <c r="F3" s="967"/>
      <c r="G3" s="967"/>
      <c r="H3" s="967"/>
      <c r="I3" s="968"/>
      <c r="J3" s="1046"/>
    </row>
    <row r="4" spans="1:10" s="184" customFormat="1" ht="27" customHeight="1">
      <c r="A4" s="226" t="s">
        <v>38</v>
      </c>
      <c r="B4" s="969" t="s">
        <v>39</v>
      </c>
      <c r="C4" s="970"/>
      <c r="D4" s="970"/>
      <c r="E4" s="970"/>
      <c r="F4" s="970"/>
      <c r="G4" s="970"/>
      <c r="H4" s="971"/>
      <c r="I4" s="953"/>
      <c r="J4" s="953"/>
    </row>
    <row r="5" spans="1:10" s="184" customFormat="1" ht="58.8" customHeight="1">
      <c r="A5" s="226" t="s">
        <v>40</v>
      </c>
      <c r="B5" s="969" t="s">
        <v>41</v>
      </c>
      <c r="C5" s="970"/>
      <c r="D5" s="970"/>
      <c r="E5" s="970"/>
      <c r="F5" s="970"/>
      <c r="G5" s="970"/>
      <c r="H5" s="971"/>
      <c r="I5" s="1054" t="s">
        <v>592</v>
      </c>
      <c r="J5" s="1054"/>
    </row>
    <row r="6" spans="1:10" s="184" customFormat="1" ht="20.100000000000001" customHeight="1">
      <c r="A6" s="226" t="s">
        <v>42</v>
      </c>
      <c r="B6" s="969" t="s">
        <v>43</v>
      </c>
      <c r="C6" s="970"/>
      <c r="D6" s="970"/>
      <c r="E6" s="970"/>
      <c r="F6" s="970"/>
      <c r="G6" s="970"/>
      <c r="H6" s="971"/>
      <c r="I6" s="954"/>
      <c r="J6" s="954"/>
    </row>
    <row r="7" spans="1:10" s="184" customFormat="1" ht="20.100000000000001" customHeight="1">
      <c r="A7" s="226" t="s">
        <v>44</v>
      </c>
      <c r="B7" s="969" t="s">
        <v>45</v>
      </c>
      <c r="C7" s="970"/>
      <c r="D7" s="970"/>
      <c r="E7" s="970"/>
      <c r="F7" s="970"/>
      <c r="G7" s="970"/>
      <c r="H7" s="971"/>
      <c r="I7" s="954">
        <v>20</v>
      </c>
      <c r="J7" s="954"/>
    </row>
    <row r="8" spans="1:10" s="184" customFormat="1" ht="31.2" customHeight="1">
      <c r="A8" s="972" t="s">
        <v>46</v>
      </c>
      <c r="B8" s="972"/>
      <c r="C8" s="972"/>
      <c r="D8" s="972"/>
      <c r="E8" s="972"/>
      <c r="F8" s="972"/>
      <c r="G8" s="972"/>
      <c r="H8" s="972"/>
      <c r="I8" s="973"/>
      <c r="J8" s="1047"/>
    </row>
    <row r="9" spans="1:10" s="184" customFormat="1" ht="20.100000000000001" customHeight="1">
      <c r="A9" s="958" t="s">
        <v>47</v>
      </c>
      <c r="B9" s="958"/>
      <c r="C9" s="958"/>
      <c r="D9" s="958"/>
      <c r="E9" s="958"/>
      <c r="F9" s="958"/>
      <c r="G9" s="958" t="s">
        <v>48</v>
      </c>
      <c r="H9" s="958"/>
      <c r="I9" s="1057" t="s">
        <v>49</v>
      </c>
      <c r="J9" s="1057"/>
    </row>
    <row r="10" spans="1:10" s="184" customFormat="1" ht="20.100000000000001" customHeight="1">
      <c r="A10" s="955" t="s">
        <v>50</v>
      </c>
      <c r="B10" s="955"/>
      <c r="C10" s="955"/>
      <c r="D10" s="955"/>
      <c r="E10" s="955"/>
      <c r="F10" s="955"/>
      <c r="G10" s="955" t="s">
        <v>327</v>
      </c>
      <c r="H10" s="1055"/>
      <c r="I10" s="1056" t="s">
        <v>591</v>
      </c>
      <c r="J10" s="1056"/>
    </row>
    <row r="11" spans="1:10" s="184" customFormat="1" ht="20.100000000000001" customHeight="1">
      <c r="A11" s="974" t="s">
        <v>51</v>
      </c>
      <c r="B11" s="974"/>
      <c r="C11" s="974"/>
      <c r="D11" s="974"/>
      <c r="E11" s="974"/>
      <c r="F11" s="974"/>
      <c r="G11" s="974"/>
      <c r="H11" s="974"/>
      <c r="I11" s="968"/>
      <c r="J11" s="1046"/>
    </row>
    <row r="12" spans="1:10" s="184" customFormat="1" ht="20.100000000000001" customHeight="1">
      <c r="A12" s="226">
        <v>1</v>
      </c>
      <c r="B12" s="969" t="s">
        <v>52</v>
      </c>
      <c r="C12" s="970"/>
      <c r="D12" s="970"/>
      <c r="E12" s="970"/>
      <c r="F12" s="970"/>
      <c r="G12" s="970"/>
      <c r="H12" s="971"/>
      <c r="I12" s="1038" t="s">
        <v>341</v>
      </c>
      <c r="J12" s="1038"/>
    </row>
    <row r="13" spans="1:10" s="184" customFormat="1" ht="20.100000000000001" customHeight="1">
      <c r="A13" s="226">
        <v>2</v>
      </c>
      <c r="B13" s="969" t="s">
        <v>293</v>
      </c>
      <c r="C13" s="970"/>
      <c r="D13" s="970"/>
      <c r="E13" s="970"/>
      <c r="F13" s="970"/>
      <c r="G13" s="970"/>
      <c r="H13" s="971"/>
      <c r="I13" s="1033" t="s">
        <v>295</v>
      </c>
      <c r="J13" s="1033"/>
    </row>
    <row r="14" spans="1:10" s="184" customFormat="1" ht="20.100000000000001" customHeight="1">
      <c r="A14" s="226">
        <v>3</v>
      </c>
      <c r="B14" s="969" t="s">
        <v>53</v>
      </c>
      <c r="C14" s="970"/>
      <c r="D14" s="970"/>
      <c r="E14" s="970"/>
      <c r="F14" s="970"/>
      <c r="G14" s="970"/>
      <c r="H14" s="971"/>
      <c r="I14" s="1033">
        <v>1094.46</v>
      </c>
      <c r="J14" s="1033"/>
    </row>
    <row r="15" spans="1:10" s="184" customFormat="1" ht="20.100000000000001" customHeight="1">
      <c r="A15" s="226">
        <v>4</v>
      </c>
      <c r="B15" s="969" t="s">
        <v>54</v>
      </c>
      <c r="C15" s="970"/>
      <c r="D15" s="970"/>
      <c r="E15" s="970"/>
      <c r="F15" s="970"/>
      <c r="G15" s="970"/>
      <c r="H15" s="971"/>
      <c r="I15" s="1029" t="s">
        <v>296</v>
      </c>
      <c r="J15" s="1029"/>
    </row>
    <row r="16" spans="1:10" s="184" customFormat="1" ht="20.100000000000001" customHeight="1">
      <c r="A16" s="226">
        <v>5</v>
      </c>
      <c r="B16" s="969" t="s">
        <v>55</v>
      </c>
      <c r="C16" s="970"/>
      <c r="D16" s="970"/>
      <c r="E16" s="970"/>
      <c r="F16" s="970"/>
      <c r="G16" s="970"/>
      <c r="H16" s="971"/>
      <c r="I16" s="1031">
        <v>43101</v>
      </c>
      <c r="J16" s="1031"/>
    </row>
    <row r="17" spans="1:10" s="184" customFormat="1" ht="20.100000000000001" customHeight="1">
      <c r="A17" s="226">
        <v>6</v>
      </c>
      <c r="B17" s="969" t="s">
        <v>56</v>
      </c>
      <c r="C17" s="970"/>
      <c r="D17" s="970"/>
      <c r="E17" s="970"/>
      <c r="F17" s="970"/>
      <c r="G17" s="970"/>
      <c r="H17" s="971"/>
      <c r="I17" s="1033">
        <v>954</v>
      </c>
      <c r="J17" s="1033"/>
    </row>
    <row r="18" spans="1:10" s="222" customFormat="1" ht="20.100000000000001" customHeight="1">
      <c r="A18" s="226">
        <v>7</v>
      </c>
      <c r="B18" s="969" t="s">
        <v>330</v>
      </c>
      <c r="C18" s="970"/>
      <c r="D18" s="970"/>
      <c r="E18" s="970"/>
      <c r="F18" s="970"/>
      <c r="G18" s="970"/>
      <c r="H18" s="971"/>
      <c r="I18" s="1036">
        <v>21</v>
      </c>
      <c r="J18" s="1036"/>
    </row>
    <row r="19" spans="1:10" s="184" customFormat="1" ht="19.95" customHeight="1">
      <c r="A19" s="219"/>
      <c r="B19" s="220"/>
      <c r="C19" s="220"/>
      <c r="D19" s="220"/>
      <c r="E19" s="220"/>
      <c r="F19" s="220"/>
      <c r="G19" s="220"/>
      <c r="H19" s="221"/>
      <c r="I19" s="221"/>
      <c r="J19" s="222"/>
    </row>
    <row r="20" spans="1:10" s="184" customFormat="1" ht="25.95" customHeight="1">
      <c r="A20" s="1035" t="s">
        <v>334</v>
      </c>
      <c r="B20" s="1035"/>
      <c r="C20" s="1035"/>
      <c r="D20" s="1035"/>
      <c r="E20" s="1035"/>
      <c r="F20" s="1035"/>
      <c r="G20" s="1035"/>
      <c r="H20" s="1035"/>
      <c r="I20" s="748" t="s">
        <v>404</v>
      </c>
      <c r="J20" s="750" t="s">
        <v>405</v>
      </c>
    </row>
    <row r="21" spans="1:10" s="184" customFormat="1" ht="20.100000000000001" customHeight="1">
      <c r="A21" s="976" t="s">
        <v>57</v>
      </c>
      <c r="B21" s="976"/>
      <c r="C21" s="976"/>
      <c r="D21" s="976"/>
      <c r="E21" s="976"/>
      <c r="F21" s="976"/>
      <c r="G21" s="976"/>
      <c r="H21" s="976"/>
      <c r="I21" s="976"/>
      <c r="J21" s="976"/>
    </row>
    <row r="22" spans="1:10" s="184" customFormat="1" ht="19.2" customHeight="1">
      <c r="A22" s="250">
        <v>1</v>
      </c>
      <c r="B22" s="985" t="s">
        <v>58</v>
      </c>
      <c r="C22" s="985"/>
      <c r="D22" s="985"/>
      <c r="E22" s="985"/>
      <c r="F22" s="985"/>
      <c r="G22" s="985"/>
      <c r="H22" s="250" t="s">
        <v>59</v>
      </c>
      <c r="I22" s="404" t="s">
        <v>60</v>
      </c>
      <c r="J22" s="404" t="s">
        <v>60</v>
      </c>
    </row>
    <row r="23" spans="1:10" s="184" customFormat="1" ht="20.399999999999999" customHeight="1">
      <c r="A23" s="226" t="s">
        <v>38</v>
      </c>
      <c r="B23" s="1011" t="s">
        <v>332</v>
      </c>
      <c r="C23" s="1011"/>
      <c r="D23" s="1011"/>
      <c r="E23" s="1011"/>
      <c r="F23" s="1011"/>
      <c r="G23" s="1011"/>
      <c r="H23" s="1012"/>
      <c r="I23" s="419">
        <f>I14</f>
        <v>1094.46</v>
      </c>
      <c r="J23" s="419">
        <f>I14</f>
        <v>1094.46</v>
      </c>
    </row>
    <row r="24" spans="1:10" s="184" customFormat="1" ht="20.399999999999999" customHeight="1">
      <c r="A24" s="226" t="s">
        <v>40</v>
      </c>
      <c r="B24" s="1028" t="s">
        <v>292</v>
      </c>
      <c r="C24" s="1028"/>
      <c r="D24" s="1028"/>
      <c r="E24" s="1028"/>
      <c r="F24" s="1028"/>
      <c r="G24" s="1028"/>
      <c r="H24" s="417">
        <v>0.3</v>
      </c>
      <c r="I24" s="419">
        <f>ROUND(I23*H24,2)</f>
        <v>328.34</v>
      </c>
      <c r="J24" s="419"/>
    </row>
    <row r="25" spans="1:10" s="184" customFormat="1" ht="20.100000000000001" customHeight="1">
      <c r="A25" s="226" t="s">
        <v>42</v>
      </c>
      <c r="B25" s="1028" t="s">
        <v>335</v>
      </c>
      <c r="C25" s="1028"/>
      <c r="D25" s="1028"/>
      <c r="E25" s="1028"/>
      <c r="F25" s="1028"/>
      <c r="G25" s="1028"/>
      <c r="H25" s="417">
        <v>0.4</v>
      </c>
      <c r="I25" s="419"/>
      <c r="J25" s="419">
        <f>ROUND(I17*H25,2)</f>
        <v>381.6</v>
      </c>
    </row>
    <row r="26" spans="1:10" s="184" customFormat="1" ht="20.100000000000001" customHeight="1">
      <c r="A26" s="226" t="s">
        <v>44</v>
      </c>
      <c r="B26" s="988" t="s">
        <v>62</v>
      </c>
      <c r="C26" s="988"/>
      <c r="D26" s="988"/>
      <c r="E26" s="988"/>
      <c r="F26" s="988"/>
      <c r="G26" s="988"/>
      <c r="H26" s="989"/>
      <c r="I26" s="419"/>
      <c r="J26" s="419"/>
    </row>
    <row r="27" spans="1:10" s="184" customFormat="1" ht="20.100000000000001" customHeight="1">
      <c r="A27" s="1001" t="s">
        <v>63</v>
      </c>
      <c r="B27" s="1001"/>
      <c r="C27" s="1001"/>
      <c r="D27" s="1001"/>
      <c r="E27" s="1001"/>
      <c r="F27" s="1001"/>
      <c r="G27" s="1001"/>
      <c r="H27" s="1007"/>
      <c r="I27" s="420">
        <f t="shared" ref="I27:J27" si="0">TRUNC(SUM(I23:I26),2)</f>
        <v>1422.8</v>
      </c>
      <c r="J27" s="420">
        <f t="shared" si="0"/>
        <v>1476.06</v>
      </c>
    </row>
    <row r="28" spans="1:10" s="184" customFormat="1" ht="20.100000000000001" customHeight="1">
      <c r="A28" s="976" t="s">
        <v>291</v>
      </c>
      <c r="B28" s="976"/>
      <c r="C28" s="976"/>
      <c r="D28" s="976"/>
      <c r="E28" s="976"/>
      <c r="F28" s="976"/>
      <c r="G28" s="976"/>
      <c r="H28" s="976"/>
      <c r="I28" s="977"/>
      <c r="J28" s="977"/>
    </row>
    <row r="29" spans="1:10" s="184" customFormat="1" ht="25.2" customHeight="1">
      <c r="A29" s="976" t="s">
        <v>624</v>
      </c>
      <c r="B29" s="976"/>
      <c r="C29" s="976"/>
      <c r="D29" s="976"/>
      <c r="E29" s="976"/>
      <c r="F29" s="976"/>
      <c r="G29" s="976"/>
      <c r="H29" s="976"/>
      <c r="I29" s="976"/>
      <c r="J29" s="976"/>
    </row>
    <row r="30" spans="1:10" s="184" customFormat="1" ht="21" customHeight="1">
      <c r="A30" s="250" t="s">
        <v>8</v>
      </c>
      <c r="B30" s="1025" t="s">
        <v>626</v>
      </c>
      <c r="C30" s="1025"/>
      <c r="D30" s="1025"/>
      <c r="E30" s="1025"/>
      <c r="F30" s="1025"/>
      <c r="G30" s="1025"/>
      <c r="H30" s="252" t="s">
        <v>59</v>
      </c>
      <c r="I30" s="404" t="s">
        <v>60</v>
      </c>
      <c r="J30" s="404" t="s">
        <v>60</v>
      </c>
    </row>
    <row r="31" spans="1:10" s="184" customFormat="1" ht="18" customHeight="1">
      <c r="A31" s="226" t="s">
        <v>38</v>
      </c>
      <c r="B31" s="1011" t="s">
        <v>331</v>
      </c>
      <c r="C31" s="1011"/>
      <c r="D31" s="1011"/>
      <c r="E31" s="1011"/>
      <c r="F31" s="1011"/>
      <c r="G31" s="1011"/>
      <c r="H31" s="408">
        <v>8.3330000000000001E-2</v>
      </c>
      <c r="I31" s="406">
        <f>ROUND($I$27*H31,2)</f>
        <v>118.56</v>
      </c>
      <c r="J31" s="406">
        <f>ROUND($J$27*H31,2)</f>
        <v>123</v>
      </c>
    </row>
    <row r="32" spans="1:10" ht="20.100000000000001" customHeight="1">
      <c r="A32" s="226" t="s">
        <v>40</v>
      </c>
      <c r="B32" s="988" t="s">
        <v>625</v>
      </c>
      <c r="C32" s="988"/>
      <c r="D32" s="988"/>
      <c r="E32" s="988"/>
      <c r="F32" s="988"/>
      <c r="G32" s="988"/>
      <c r="H32" s="795">
        <f>(5/56/3)</f>
        <v>2.9761904761904764E-2</v>
      </c>
      <c r="I32" s="406">
        <f>ROUND(H32*I27,2)</f>
        <v>42.35</v>
      </c>
      <c r="J32" s="406">
        <f>ROUND(H32*J27,2)</f>
        <v>43.93</v>
      </c>
    </row>
    <row r="33" spans="1:220" ht="20.100000000000001" customHeight="1">
      <c r="A33" s="1001" t="s">
        <v>85</v>
      </c>
      <c r="B33" s="1001"/>
      <c r="C33" s="1001"/>
      <c r="D33" s="1001"/>
      <c r="E33" s="1001"/>
      <c r="F33" s="1001"/>
      <c r="G33" s="1001"/>
      <c r="H33" s="398">
        <f t="shared" ref="H33" si="1">H31+H32</f>
        <v>0.11309190476190477</v>
      </c>
      <c r="I33" s="407">
        <f t="shared" ref="I33:J33" si="2">TRUNC(I31+I32,2)</f>
        <v>160.91</v>
      </c>
      <c r="J33" s="407">
        <f t="shared" si="2"/>
        <v>166.93</v>
      </c>
    </row>
    <row r="34" spans="1:220" ht="20.100000000000001" customHeight="1">
      <c r="A34" s="226" t="s">
        <v>42</v>
      </c>
      <c r="B34" s="1011" t="s">
        <v>290</v>
      </c>
      <c r="C34" s="1011"/>
      <c r="D34" s="1011"/>
      <c r="E34" s="1011"/>
      <c r="F34" s="1011"/>
      <c r="G34" s="1011"/>
      <c r="H34" s="409">
        <f>H33*H46</f>
        <v>3.8225063809523813E-2</v>
      </c>
      <c r="I34" s="407">
        <f>ROUND(I33*H46,2)</f>
        <v>54.39</v>
      </c>
      <c r="J34" s="407">
        <f>ROUND(J33*H46,2)</f>
        <v>56.42</v>
      </c>
    </row>
    <row r="35" spans="1:220" ht="25.2" customHeight="1">
      <c r="A35" s="1001" t="s">
        <v>84</v>
      </c>
      <c r="B35" s="1001"/>
      <c r="C35" s="1001"/>
      <c r="D35" s="1001"/>
      <c r="E35" s="1001"/>
      <c r="F35" s="1001"/>
      <c r="G35" s="1001"/>
      <c r="H35" s="410">
        <f>H33+H34</f>
        <v>0.15131696857142857</v>
      </c>
      <c r="I35" s="407">
        <f t="shared" ref="I35:J35" si="3">TRUNC(I33+I34,2)</f>
        <v>215.3</v>
      </c>
      <c r="J35" s="407">
        <f t="shared" si="3"/>
        <v>223.35</v>
      </c>
    </row>
    <row r="36" spans="1:220" ht="19.95" customHeight="1">
      <c r="A36" s="1058" t="s">
        <v>382</v>
      </c>
      <c r="B36" s="1058"/>
      <c r="C36" s="1058"/>
      <c r="D36" s="1058"/>
      <c r="E36" s="1058"/>
      <c r="F36" s="1058"/>
      <c r="G36" s="1058"/>
      <c r="H36" s="1058"/>
      <c r="I36" s="1059"/>
      <c r="J36" s="1059"/>
    </row>
    <row r="37" spans="1:220" ht="20.100000000000001" customHeight="1">
      <c r="A37" s="251" t="s">
        <v>282</v>
      </c>
      <c r="B37" s="1060" t="s">
        <v>288</v>
      </c>
      <c r="C37" s="1060"/>
      <c r="D37" s="1060"/>
      <c r="E37" s="1060"/>
      <c r="F37" s="1060"/>
      <c r="G37" s="1060"/>
      <c r="H37" s="251" t="s">
        <v>59</v>
      </c>
      <c r="I37" s="399" t="s">
        <v>60</v>
      </c>
      <c r="J37" s="399" t="s">
        <v>60</v>
      </c>
    </row>
    <row r="38" spans="1:220" ht="20.100000000000001" customHeight="1">
      <c r="A38" s="226" t="s">
        <v>38</v>
      </c>
      <c r="B38" s="988" t="s">
        <v>78</v>
      </c>
      <c r="C38" s="988"/>
      <c r="D38" s="988"/>
      <c r="E38" s="988"/>
      <c r="F38" s="988"/>
      <c r="G38" s="988"/>
      <c r="H38" s="396">
        <v>0.2</v>
      </c>
      <c r="I38" s="406">
        <f t="shared" ref="I38:I45" si="4">ROUND($I$27*H38,2)</f>
        <v>284.56</v>
      </c>
      <c r="J38" s="406">
        <f>ROUND($J$27*H38,2)</f>
        <v>295.20999999999998</v>
      </c>
    </row>
    <row r="39" spans="1:220" ht="22.2" customHeight="1">
      <c r="A39" s="226" t="s">
        <v>40</v>
      </c>
      <c r="B39" s="988" t="s">
        <v>80</v>
      </c>
      <c r="C39" s="988"/>
      <c r="D39" s="988"/>
      <c r="E39" s="988"/>
      <c r="F39" s="988"/>
      <c r="G39" s="988"/>
      <c r="H39" s="396">
        <v>2.5000000000000001E-2</v>
      </c>
      <c r="I39" s="406">
        <f t="shared" si="4"/>
        <v>35.57</v>
      </c>
      <c r="J39" s="406">
        <f>ROUND($J$27*H39,2)</f>
        <v>36.9</v>
      </c>
    </row>
    <row r="40" spans="1:220" ht="21.75" customHeight="1">
      <c r="A40" s="226" t="s">
        <v>42</v>
      </c>
      <c r="B40" s="988" t="s">
        <v>323</v>
      </c>
      <c r="C40" s="988"/>
      <c r="D40" s="988"/>
      <c r="E40" s="988"/>
      <c r="F40" s="988"/>
      <c r="G40" s="988"/>
      <c r="H40" s="397">
        <v>0</v>
      </c>
      <c r="I40" s="406">
        <f t="shared" si="4"/>
        <v>0</v>
      </c>
      <c r="J40" s="406">
        <f>ROUND($J$27*H40,2)</f>
        <v>0</v>
      </c>
    </row>
    <row r="41" spans="1:220" ht="20.100000000000001" customHeight="1">
      <c r="A41" s="226" t="s">
        <v>44</v>
      </c>
      <c r="B41" s="988" t="s">
        <v>287</v>
      </c>
      <c r="C41" s="988"/>
      <c r="D41" s="988"/>
      <c r="E41" s="988"/>
      <c r="F41" s="988"/>
      <c r="G41" s="988"/>
      <c r="H41" s="396">
        <v>1.4999999999999999E-2</v>
      </c>
      <c r="I41" s="406">
        <f t="shared" si="4"/>
        <v>21.34</v>
      </c>
      <c r="J41" s="406">
        <f>ROUND($J$27*H41,2)</f>
        <v>22.14</v>
      </c>
    </row>
    <row r="42" spans="1:220" ht="20.100000000000001" customHeight="1">
      <c r="A42" s="226" t="s">
        <v>27</v>
      </c>
      <c r="B42" s="988" t="s">
        <v>286</v>
      </c>
      <c r="C42" s="988"/>
      <c r="D42" s="988"/>
      <c r="E42" s="988"/>
      <c r="F42" s="988"/>
      <c r="G42" s="988"/>
      <c r="H42" s="396">
        <v>0.01</v>
      </c>
      <c r="I42" s="406">
        <f t="shared" si="4"/>
        <v>14.23</v>
      </c>
      <c r="J42" s="406">
        <f t="shared" ref="J42:J45" si="5">ROUND($J$27*H42,2)</f>
        <v>14.76</v>
      </c>
    </row>
    <row r="43" spans="1:220" ht="20.100000000000001" customHeight="1">
      <c r="A43" s="226" t="s">
        <v>67</v>
      </c>
      <c r="B43" s="988" t="s">
        <v>83</v>
      </c>
      <c r="C43" s="988"/>
      <c r="D43" s="988"/>
      <c r="E43" s="988"/>
      <c r="F43" s="988"/>
      <c r="G43" s="988"/>
      <c r="H43" s="396">
        <v>6.0000000000000001E-3</v>
      </c>
      <c r="I43" s="406">
        <f t="shared" si="4"/>
        <v>8.5399999999999991</v>
      </c>
      <c r="J43" s="406">
        <f t="shared" si="5"/>
        <v>8.86</v>
      </c>
    </row>
    <row r="44" spans="1:220" ht="20.100000000000001" customHeight="1">
      <c r="A44" s="226" t="s">
        <v>82</v>
      </c>
      <c r="B44" s="988" t="s">
        <v>79</v>
      </c>
      <c r="C44" s="988"/>
      <c r="D44" s="988"/>
      <c r="E44" s="988"/>
      <c r="F44" s="988"/>
      <c r="G44" s="988"/>
      <c r="H44" s="396">
        <v>2E-3</v>
      </c>
      <c r="I44" s="406">
        <f t="shared" si="4"/>
        <v>2.85</v>
      </c>
      <c r="J44" s="406">
        <f t="shared" si="5"/>
        <v>2.95</v>
      </c>
    </row>
    <row r="45" spans="1:220" ht="20.100000000000001" customHeight="1">
      <c r="A45" s="226" t="s">
        <v>61</v>
      </c>
      <c r="B45" s="988" t="s">
        <v>81</v>
      </c>
      <c r="C45" s="988"/>
      <c r="D45" s="988"/>
      <c r="E45" s="988"/>
      <c r="F45" s="988"/>
      <c r="G45" s="988"/>
      <c r="H45" s="396">
        <v>0.08</v>
      </c>
      <c r="I45" s="406">
        <f t="shared" si="4"/>
        <v>113.82</v>
      </c>
      <c r="J45" s="406">
        <f t="shared" si="5"/>
        <v>118.08</v>
      </c>
    </row>
    <row r="46" spans="1:220" s="187" customFormat="1" ht="20.100000000000001" customHeight="1">
      <c r="A46" s="1001" t="s">
        <v>84</v>
      </c>
      <c r="B46" s="1001"/>
      <c r="C46" s="1001"/>
      <c r="D46" s="1001"/>
      <c r="E46" s="1001"/>
      <c r="F46" s="1001"/>
      <c r="G46" s="1001"/>
      <c r="H46" s="398">
        <f t="shared" ref="H46:I46" si="6">SUM(H38:H45)</f>
        <v>0.33800000000000002</v>
      </c>
      <c r="I46" s="407">
        <f t="shared" si="6"/>
        <v>480.91</v>
      </c>
      <c r="J46" s="407">
        <f t="shared" ref="J46" si="7">SUM(J38:J45)</f>
        <v>498.89999999999992</v>
      </c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  <c r="AY46" s="186"/>
      <c r="AZ46" s="186"/>
      <c r="BA46" s="186"/>
      <c r="BB46" s="186"/>
      <c r="BC46" s="186"/>
      <c r="BD46" s="186"/>
      <c r="BE46" s="186"/>
      <c r="BF46" s="186"/>
      <c r="BG46" s="186"/>
      <c r="BH46" s="186"/>
      <c r="BI46" s="186"/>
      <c r="BJ46" s="186"/>
      <c r="BK46" s="186"/>
      <c r="BL46" s="186"/>
      <c r="BM46" s="186"/>
      <c r="BN46" s="186"/>
      <c r="BO46" s="186"/>
      <c r="BP46" s="186"/>
      <c r="BQ46" s="186"/>
      <c r="BR46" s="186"/>
      <c r="BS46" s="186"/>
      <c r="BT46" s="186"/>
      <c r="BU46" s="186"/>
      <c r="BV46" s="186"/>
      <c r="BW46" s="186"/>
      <c r="BX46" s="186"/>
      <c r="BY46" s="186"/>
      <c r="BZ46" s="186"/>
      <c r="CA46" s="186"/>
      <c r="CB46" s="186"/>
      <c r="CC46" s="186"/>
      <c r="CD46" s="186"/>
      <c r="CE46" s="186"/>
      <c r="CF46" s="186"/>
      <c r="CG46" s="186"/>
      <c r="CH46" s="186"/>
      <c r="CI46" s="186"/>
      <c r="CJ46" s="186"/>
      <c r="CK46" s="186"/>
      <c r="CL46" s="186"/>
      <c r="CM46" s="186"/>
      <c r="CN46" s="186"/>
      <c r="CO46" s="186"/>
      <c r="CP46" s="186"/>
      <c r="CQ46" s="186"/>
      <c r="CR46" s="186"/>
      <c r="CS46" s="186"/>
      <c r="CT46" s="186"/>
      <c r="CU46" s="186"/>
      <c r="CV46" s="186"/>
      <c r="CW46" s="186"/>
      <c r="CX46" s="186"/>
      <c r="CY46" s="186"/>
      <c r="CZ46" s="186"/>
      <c r="DA46" s="186"/>
      <c r="DB46" s="186"/>
      <c r="DC46" s="186"/>
      <c r="DD46" s="186"/>
      <c r="DE46" s="186"/>
      <c r="DF46" s="186"/>
      <c r="DG46" s="186"/>
      <c r="DH46" s="186"/>
      <c r="DI46" s="186"/>
      <c r="DJ46" s="186"/>
      <c r="DK46" s="186"/>
      <c r="DL46" s="186"/>
      <c r="DM46" s="186"/>
      <c r="DN46" s="186"/>
      <c r="DO46" s="186"/>
      <c r="DP46" s="186"/>
      <c r="DQ46" s="186"/>
      <c r="DR46" s="186"/>
      <c r="DS46" s="186"/>
      <c r="DT46" s="186"/>
      <c r="DU46" s="186"/>
      <c r="DV46" s="186"/>
      <c r="DW46" s="186"/>
      <c r="DX46" s="186"/>
      <c r="DY46" s="186"/>
      <c r="DZ46" s="186"/>
      <c r="EA46" s="186"/>
      <c r="EB46" s="186"/>
      <c r="EC46" s="186"/>
      <c r="ED46" s="186"/>
      <c r="EE46" s="186"/>
      <c r="EF46" s="186"/>
      <c r="EG46" s="186"/>
      <c r="EH46" s="186"/>
      <c r="EI46" s="186"/>
      <c r="EJ46" s="186"/>
      <c r="EK46" s="186"/>
      <c r="EL46" s="186"/>
      <c r="EM46" s="186"/>
      <c r="EN46" s="186"/>
      <c r="EO46" s="186"/>
      <c r="EP46" s="186"/>
      <c r="EQ46" s="186"/>
      <c r="ER46" s="186"/>
      <c r="ES46" s="186"/>
      <c r="ET46" s="186"/>
      <c r="EU46" s="186"/>
      <c r="EV46" s="186"/>
      <c r="EW46" s="186"/>
      <c r="EX46" s="186"/>
      <c r="EY46" s="186"/>
      <c r="EZ46" s="186"/>
      <c r="FA46" s="186"/>
      <c r="FB46" s="186"/>
      <c r="FC46" s="186"/>
      <c r="FD46" s="186"/>
      <c r="FE46" s="186"/>
      <c r="FF46" s="186"/>
      <c r="FG46" s="186"/>
      <c r="FH46" s="186"/>
      <c r="FI46" s="186"/>
      <c r="FJ46" s="186"/>
      <c r="FK46" s="186"/>
      <c r="FL46" s="186"/>
      <c r="FM46" s="186"/>
      <c r="FN46" s="186"/>
      <c r="FO46" s="186"/>
      <c r="FP46" s="186"/>
      <c r="FQ46" s="186"/>
      <c r="FR46" s="186"/>
      <c r="FS46" s="186"/>
      <c r="FT46" s="186"/>
      <c r="FU46" s="186"/>
      <c r="FV46" s="186"/>
      <c r="FW46" s="186"/>
      <c r="FX46" s="186"/>
      <c r="FY46" s="186"/>
      <c r="FZ46" s="186"/>
      <c r="GA46" s="186"/>
      <c r="GB46" s="186"/>
      <c r="GC46" s="186"/>
      <c r="GD46" s="186"/>
      <c r="GE46" s="186"/>
      <c r="GF46" s="186"/>
      <c r="GG46" s="186"/>
      <c r="GH46" s="186"/>
      <c r="GI46" s="186"/>
      <c r="GJ46" s="186"/>
      <c r="GK46" s="186"/>
      <c r="GL46" s="186"/>
      <c r="GM46" s="186"/>
      <c r="GN46" s="186"/>
      <c r="GO46" s="186"/>
      <c r="GP46" s="186"/>
      <c r="GQ46" s="186"/>
      <c r="GR46" s="186"/>
      <c r="GS46" s="186"/>
      <c r="GT46" s="186"/>
      <c r="GU46" s="186"/>
      <c r="GV46" s="186"/>
      <c r="GW46" s="186"/>
      <c r="GX46" s="186"/>
      <c r="GY46" s="186"/>
      <c r="GZ46" s="186"/>
      <c r="HA46" s="186"/>
      <c r="HB46" s="186"/>
      <c r="HC46" s="186"/>
      <c r="HD46" s="186"/>
      <c r="HE46" s="186"/>
      <c r="HF46" s="186"/>
      <c r="HG46" s="186"/>
      <c r="HH46" s="186"/>
      <c r="HI46" s="186"/>
      <c r="HJ46" s="186"/>
      <c r="HK46" s="186"/>
      <c r="HL46" s="186"/>
    </row>
    <row r="47" spans="1:220" ht="20.100000000000001" customHeight="1">
      <c r="A47" s="985" t="s">
        <v>381</v>
      </c>
      <c r="B47" s="985"/>
      <c r="C47" s="985"/>
      <c r="D47" s="985"/>
      <c r="E47" s="985"/>
      <c r="F47" s="985"/>
      <c r="G47" s="985"/>
      <c r="H47" s="985"/>
      <c r="I47" s="986"/>
      <c r="J47" s="986"/>
    </row>
    <row r="48" spans="1:220" ht="20.100000000000001" customHeight="1">
      <c r="A48" s="250" t="s">
        <v>280</v>
      </c>
      <c r="B48" s="985" t="s">
        <v>64</v>
      </c>
      <c r="C48" s="985"/>
      <c r="D48" s="985"/>
      <c r="E48" s="985"/>
      <c r="F48" s="985"/>
      <c r="G48" s="985"/>
      <c r="H48" s="985"/>
      <c r="I48" s="764" t="s">
        <v>60</v>
      </c>
      <c r="J48" s="764" t="s">
        <v>60</v>
      </c>
    </row>
    <row r="49" spans="1:10" s="184" customFormat="1" ht="23.25" customHeight="1">
      <c r="A49" s="255" t="s">
        <v>38</v>
      </c>
      <c r="B49" s="988" t="s">
        <v>403</v>
      </c>
      <c r="C49" s="1000"/>
      <c r="D49" s="1000"/>
      <c r="E49" s="1000"/>
      <c r="F49" s="1000"/>
      <c r="G49" s="1000"/>
      <c r="H49" s="1061"/>
      <c r="I49" s="406">
        <v>90</v>
      </c>
      <c r="J49" s="406">
        <v>90</v>
      </c>
    </row>
    <row r="50" spans="1:10" s="184" customFormat="1" ht="24.6" customHeight="1">
      <c r="A50" s="226" t="s">
        <v>40</v>
      </c>
      <c r="B50" s="1016" t="s">
        <v>459</v>
      </c>
      <c r="C50" s="1017"/>
      <c r="D50" s="1017"/>
      <c r="E50" s="1017"/>
      <c r="F50" s="1018"/>
      <c r="G50" s="189">
        <v>360</v>
      </c>
      <c r="H50" s="403">
        <f>G50*0.99%</f>
        <v>3.5639999999999996</v>
      </c>
      <c r="I50" s="406">
        <f>ROUND(G50-H50,2)</f>
        <v>356.44</v>
      </c>
      <c r="J50" s="406">
        <f>ROUND(G50-H50,2)</f>
        <v>356.44</v>
      </c>
    </row>
    <row r="51" spans="1:10" s="184" customFormat="1" ht="21" customHeight="1">
      <c r="A51" s="226" t="s">
        <v>40</v>
      </c>
      <c r="B51" s="988" t="s">
        <v>65</v>
      </c>
      <c r="C51" s="988"/>
      <c r="D51" s="988"/>
      <c r="E51" s="988"/>
      <c r="F51" s="988"/>
      <c r="G51" s="988"/>
      <c r="H51" s="989"/>
      <c r="I51" s="406"/>
      <c r="J51" s="406"/>
    </row>
    <row r="52" spans="1:10" s="184" customFormat="1" ht="20.100000000000001" customHeight="1">
      <c r="A52" s="226" t="s">
        <v>42</v>
      </c>
      <c r="B52" s="988" t="s">
        <v>66</v>
      </c>
      <c r="C52" s="988"/>
      <c r="D52" s="988"/>
      <c r="E52" s="988"/>
      <c r="F52" s="988"/>
      <c r="G52" s="988"/>
      <c r="H52" s="989"/>
      <c r="I52" s="406"/>
      <c r="J52" s="406"/>
    </row>
    <row r="53" spans="1:10" s="184" customFormat="1" ht="20.100000000000001" customHeight="1">
      <c r="A53" s="226" t="s">
        <v>44</v>
      </c>
      <c r="B53" s="988" t="s">
        <v>324</v>
      </c>
      <c r="C53" s="988"/>
      <c r="D53" s="988"/>
      <c r="E53" s="988"/>
      <c r="F53" s="988"/>
      <c r="G53" s="988"/>
      <c r="H53" s="989"/>
      <c r="I53" s="406"/>
      <c r="J53" s="406"/>
    </row>
    <row r="54" spans="1:10" s="191" customFormat="1" ht="20.100000000000001" customHeight="1">
      <c r="A54" s="226" t="s">
        <v>27</v>
      </c>
      <c r="B54" s="988" t="s">
        <v>62</v>
      </c>
      <c r="C54" s="988"/>
      <c r="D54" s="988"/>
      <c r="E54" s="988"/>
      <c r="F54" s="988"/>
      <c r="G54" s="988"/>
      <c r="H54" s="989"/>
      <c r="I54" s="406"/>
      <c r="J54" s="406"/>
    </row>
    <row r="55" spans="1:10" s="184" customFormat="1" ht="20.100000000000001" customHeight="1">
      <c r="A55" s="190"/>
      <c r="B55" s="1001" t="s">
        <v>68</v>
      </c>
      <c r="C55" s="1001"/>
      <c r="D55" s="1001"/>
      <c r="E55" s="1001"/>
      <c r="F55" s="1001"/>
      <c r="G55" s="1001"/>
      <c r="H55" s="1001"/>
      <c r="I55" s="431">
        <f t="shared" ref="I55:J55" si="8">SUM(I49:I54)</f>
        <v>446.44</v>
      </c>
      <c r="J55" s="432">
        <f t="shared" si="8"/>
        <v>446.44</v>
      </c>
    </row>
    <row r="56" spans="1:10" s="184" customFormat="1" ht="20.100000000000001" customHeight="1">
      <c r="A56" s="1050" t="s">
        <v>69</v>
      </c>
      <c r="B56" s="1050"/>
      <c r="C56" s="1050"/>
      <c r="D56" s="1050"/>
      <c r="E56" s="1050"/>
      <c r="F56" s="1050"/>
      <c r="G56" s="1050"/>
      <c r="H56" s="1050"/>
      <c r="I56" s="1050"/>
      <c r="J56" s="216"/>
    </row>
    <row r="57" spans="1:10" s="184" customFormat="1" ht="20.100000000000001" customHeight="1">
      <c r="A57" s="1019" t="s">
        <v>285</v>
      </c>
      <c r="B57" s="1019"/>
      <c r="C57" s="1019"/>
      <c r="D57" s="1019"/>
      <c r="E57" s="1019"/>
      <c r="F57" s="1019"/>
      <c r="G57" s="1019"/>
      <c r="H57" s="1019"/>
      <c r="I57" s="1019"/>
      <c r="J57" s="1019"/>
    </row>
    <row r="58" spans="1:10" s="184" customFormat="1" ht="20.100000000000001" customHeight="1">
      <c r="A58" s="253">
        <v>2</v>
      </c>
      <c r="B58" s="1019" t="s">
        <v>284</v>
      </c>
      <c r="C58" s="1019"/>
      <c r="D58" s="1019"/>
      <c r="E58" s="1019"/>
      <c r="F58" s="1019"/>
      <c r="G58" s="1019"/>
      <c r="H58" s="253" t="s">
        <v>59</v>
      </c>
      <c r="I58" s="441" t="s">
        <v>60</v>
      </c>
      <c r="J58" s="441" t="s">
        <v>60</v>
      </c>
    </row>
    <row r="59" spans="1:10" s="184" customFormat="1" ht="20.100000000000001" customHeight="1">
      <c r="A59" s="217" t="s">
        <v>8</v>
      </c>
      <c r="B59" s="1020" t="s">
        <v>283</v>
      </c>
      <c r="C59" s="1020"/>
      <c r="D59" s="1020"/>
      <c r="E59" s="1020"/>
      <c r="F59" s="1020"/>
      <c r="G59" s="1020"/>
      <c r="H59" s="434">
        <f>H33</f>
        <v>0.11309190476190477</v>
      </c>
      <c r="I59" s="442">
        <f t="shared" ref="I59:J59" si="9">I35</f>
        <v>215.3</v>
      </c>
      <c r="J59" s="442">
        <f t="shared" si="9"/>
        <v>223.35</v>
      </c>
    </row>
    <row r="60" spans="1:10" s="184" customFormat="1" ht="20.100000000000001" customHeight="1">
      <c r="A60" s="217" t="s">
        <v>282</v>
      </c>
      <c r="B60" s="1020" t="s">
        <v>281</v>
      </c>
      <c r="C60" s="1020"/>
      <c r="D60" s="1020"/>
      <c r="E60" s="1020"/>
      <c r="F60" s="1020"/>
      <c r="G60" s="1020"/>
      <c r="H60" s="434">
        <f t="shared" ref="H60:J60" si="10">H46</f>
        <v>0.33800000000000002</v>
      </c>
      <c r="I60" s="442">
        <f t="shared" si="10"/>
        <v>480.91</v>
      </c>
      <c r="J60" s="442">
        <f t="shared" si="10"/>
        <v>498.89999999999992</v>
      </c>
    </row>
    <row r="61" spans="1:10" s="184" customFormat="1" ht="20.100000000000001" customHeight="1">
      <c r="A61" s="217" t="s">
        <v>280</v>
      </c>
      <c r="B61" s="1020" t="s">
        <v>279</v>
      </c>
      <c r="C61" s="1020"/>
      <c r="D61" s="1020"/>
      <c r="E61" s="1020"/>
      <c r="F61" s="1020"/>
      <c r="G61" s="1020"/>
      <c r="H61" s="440" t="s">
        <v>89</v>
      </c>
      <c r="I61" s="442">
        <f t="shared" ref="I61:J61" si="11">I55</f>
        <v>446.44</v>
      </c>
      <c r="J61" s="442">
        <f t="shared" si="11"/>
        <v>446.44</v>
      </c>
    </row>
    <row r="62" spans="1:10" s="184" customFormat="1" ht="21" customHeight="1">
      <c r="A62" s="1021" t="s">
        <v>84</v>
      </c>
      <c r="B62" s="1021"/>
      <c r="C62" s="1021"/>
      <c r="D62" s="1021"/>
      <c r="E62" s="1021"/>
      <c r="F62" s="1021"/>
      <c r="G62" s="1021"/>
      <c r="H62" s="434">
        <f>H59+H60</f>
        <v>0.45109190476190481</v>
      </c>
      <c r="I62" s="442">
        <f t="shared" ref="I62:J62" si="12">SUM(I59:I61)</f>
        <v>1142.6500000000001</v>
      </c>
      <c r="J62" s="442">
        <f t="shared" si="12"/>
        <v>1168.6899999999998</v>
      </c>
    </row>
    <row r="63" spans="1:10" s="184" customFormat="1" ht="20.100000000000001" customHeight="1">
      <c r="A63" s="976" t="s">
        <v>278</v>
      </c>
      <c r="B63" s="976"/>
      <c r="C63" s="976"/>
      <c r="D63" s="976"/>
      <c r="E63" s="976"/>
      <c r="F63" s="976"/>
      <c r="G63" s="976"/>
      <c r="H63" s="976"/>
      <c r="I63" s="977"/>
      <c r="J63" s="977"/>
    </row>
    <row r="64" spans="1:10" s="184" customFormat="1" ht="20.100000000000001" customHeight="1">
      <c r="A64" s="250">
        <v>3</v>
      </c>
      <c r="B64" s="985" t="s">
        <v>86</v>
      </c>
      <c r="C64" s="985"/>
      <c r="D64" s="985"/>
      <c r="E64" s="985"/>
      <c r="F64" s="985"/>
      <c r="G64" s="985"/>
      <c r="H64" s="985"/>
      <c r="I64" s="404" t="s">
        <v>60</v>
      </c>
      <c r="J64" s="404" t="s">
        <v>60</v>
      </c>
    </row>
    <row r="65" spans="1:10" s="184" customFormat="1" ht="20.100000000000001" customHeight="1">
      <c r="A65" s="226" t="s">
        <v>38</v>
      </c>
      <c r="B65" s="988" t="s">
        <v>662</v>
      </c>
      <c r="C65" s="988"/>
      <c r="D65" s="988"/>
      <c r="E65" s="988"/>
      <c r="F65" s="988"/>
      <c r="G65" s="988"/>
      <c r="H65" s="409">
        <v>0</v>
      </c>
      <c r="I65" s="406">
        <f>ROUND($I$27*H65,2)</f>
        <v>0</v>
      </c>
      <c r="J65" s="406">
        <f>ROUND($J$27*H65,2)</f>
        <v>0</v>
      </c>
    </row>
    <row r="66" spans="1:10" s="184" customFormat="1" ht="21.6" customHeight="1">
      <c r="A66" s="226" t="s">
        <v>40</v>
      </c>
      <c r="B66" s="988" t="s">
        <v>87</v>
      </c>
      <c r="C66" s="988"/>
      <c r="D66" s="988"/>
      <c r="E66" s="988"/>
      <c r="F66" s="988"/>
      <c r="G66" s="988"/>
      <c r="H66" s="434">
        <f>H45*H65</f>
        <v>0</v>
      </c>
      <c r="I66" s="406">
        <f>ROUND($H$45*I65,2)</f>
        <v>0</v>
      </c>
      <c r="J66" s="406">
        <f>ROUND($H$45*J65,2)</f>
        <v>0</v>
      </c>
    </row>
    <row r="67" spans="1:10" s="184" customFormat="1" ht="21.6" customHeight="1">
      <c r="A67" s="226" t="s">
        <v>42</v>
      </c>
      <c r="B67" s="1011" t="s">
        <v>373</v>
      </c>
      <c r="C67" s="1011"/>
      <c r="D67" s="1011"/>
      <c r="E67" s="1011"/>
      <c r="F67" s="1011"/>
      <c r="G67" s="1011"/>
      <c r="H67" s="435">
        <f>((8%*50%)*90%)*((1+5/56+5/56+5/168))</f>
        <v>4.3499999999999997E-2</v>
      </c>
      <c r="I67" s="406">
        <f>ROUND($I$27*H67,2)</f>
        <v>61.89</v>
      </c>
      <c r="J67" s="406">
        <f>ROUND($J$27*H67,2)</f>
        <v>64.209999999999994</v>
      </c>
    </row>
    <row r="68" spans="1:10" s="184" customFormat="1" ht="19.2" customHeight="1">
      <c r="A68" s="226" t="s">
        <v>44</v>
      </c>
      <c r="B68" s="1011" t="s">
        <v>333</v>
      </c>
      <c r="C68" s="1011"/>
      <c r="D68" s="1011"/>
      <c r="E68" s="1011"/>
      <c r="F68" s="1011"/>
      <c r="G68" s="1011"/>
      <c r="H68" s="435">
        <v>1.9400000000000001E-2</v>
      </c>
      <c r="I68" s="406">
        <f>ROUND($I$27*H68,2)</f>
        <v>27.6</v>
      </c>
      <c r="J68" s="406">
        <f>ROUND($J$27*H68,2)</f>
        <v>28.64</v>
      </c>
    </row>
    <row r="69" spans="1:10" s="184" customFormat="1" ht="28.2" customHeight="1">
      <c r="A69" s="226" t="s">
        <v>27</v>
      </c>
      <c r="B69" s="1011" t="s">
        <v>277</v>
      </c>
      <c r="C69" s="1011"/>
      <c r="D69" s="1011"/>
      <c r="E69" s="1011"/>
      <c r="F69" s="1011"/>
      <c r="G69" s="1011"/>
      <c r="H69" s="434">
        <f>H46*H68</f>
        <v>6.5572000000000009E-3</v>
      </c>
      <c r="I69" s="406">
        <f t="shared" ref="I69:J69" si="13">ROUND($H$46*I68,2)</f>
        <v>9.33</v>
      </c>
      <c r="J69" s="406">
        <f t="shared" si="13"/>
        <v>9.68</v>
      </c>
    </row>
    <row r="70" spans="1:10" s="184" customFormat="1" ht="22.2" customHeight="1">
      <c r="A70" s="226" t="s">
        <v>67</v>
      </c>
      <c r="B70" s="1011" t="s">
        <v>371</v>
      </c>
      <c r="C70" s="1011"/>
      <c r="D70" s="1011"/>
      <c r="E70" s="1011"/>
      <c r="F70" s="1011"/>
      <c r="G70" s="1011"/>
      <c r="H70" s="435">
        <f>((1*50%*8%*H68)+0.572%)</f>
        <v>6.4959999999999992E-3</v>
      </c>
      <c r="I70" s="406">
        <f>ROUND($I$27*H70,2)</f>
        <v>9.24</v>
      </c>
      <c r="J70" s="406">
        <f>ROUND($J$27*H70,2)</f>
        <v>9.59</v>
      </c>
    </row>
    <row r="71" spans="1:10" s="184" customFormat="1" ht="20.25" customHeight="1">
      <c r="A71" s="1001" t="s">
        <v>84</v>
      </c>
      <c r="B71" s="1001"/>
      <c r="C71" s="1001"/>
      <c r="D71" s="1001"/>
      <c r="E71" s="1001"/>
      <c r="F71" s="1001"/>
      <c r="G71" s="1001"/>
      <c r="H71" s="398">
        <f t="shared" ref="H71:I71" si="14">SUM(H65:H70)</f>
        <v>7.5953199999999998E-2</v>
      </c>
      <c r="I71" s="407">
        <f t="shared" si="14"/>
        <v>108.06</v>
      </c>
      <c r="J71" s="407">
        <f t="shared" ref="J71" si="15">SUM(J65:J70)</f>
        <v>112.12</v>
      </c>
    </row>
    <row r="72" spans="1:10" s="184" customFormat="1" ht="20.100000000000001" customHeight="1">
      <c r="A72" s="976" t="s">
        <v>271</v>
      </c>
      <c r="B72" s="976"/>
      <c r="C72" s="976"/>
      <c r="D72" s="976"/>
      <c r="E72" s="976"/>
      <c r="F72" s="976"/>
      <c r="G72" s="976"/>
      <c r="H72" s="976"/>
      <c r="I72" s="977"/>
      <c r="J72" s="977"/>
    </row>
    <row r="73" spans="1:10" s="184" customFormat="1" ht="20.100000000000001" customHeight="1">
      <c r="A73" s="250" t="s">
        <v>77</v>
      </c>
      <c r="B73" s="985" t="s">
        <v>627</v>
      </c>
      <c r="C73" s="985"/>
      <c r="D73" s="985"/>
      <c r="E73" s="985"/>
      <c r="F73" s="985"/>
      <c r="G73" s="985"/>
      <c r="H73" s="985"/>
      <c r="I73" s="404" t="s">
        <v>60</v>
      </c>
      <c r="J73" s="404" t="s">
        <v>60</v>
      </c>
    </row>
    <row r="74" spans="1:10" s="184" customFormat="1" ht="20.100000000000001" customHeight="1">
      <c r="A74" s="226" t="s">
        <v>38</v>
      </c>
      <c r="B74" s="1012" t="s">
        <v>660</v>
      </c>
      <c r="C74" s="1013"/>
      <c r="D74" s="1013"/>
      <c r="E74" s="1013"/>
      <c r="F74" s="1013"/>
      <c r="G74" s="1014"/>
      <c r="H74" s="796">
        <v>9.1200000000000003E-2</v>
      </c>
      <c r="I74" s="406">
        <f t="shared" ref="I74:I80" si="16">ROUND($I$27*H74,2)</f>
        <v>129.76</v>
      </c>
      <c r="J74" s="406">
        <f>ROUND($J$27*H74,2)</f>
        <v>134.62</v>
      </c>
    </row>
    <row r="75" spans="1:10" s="184" customFormat="1" ht="20.100000000000001" customHeight="1">
      <c r="A75" s="226" t="s">
        <v>40</v>
      </c>
      <c r="B75" s="988" t="s">
        <v>628</v>
      </c>
      <c r="C75" s="988"/>
      <c r="D75" s="988"/>
      <c r="E75" s="988"/>
      <c r="F75" s="988"/>
      <c r="G75" s="988"/>
      <c r="H75" s="433">
        <v>0</v>
      </c>
      <c r="I75" s="406">
        <f t="shared" si="16"/>
        <v>0</v>
      </c>
      <c r="J75" s="406">
        <f t="shared" ref="J75:J80" si="17">ROUND($J$27*H75,2)</f>
        <v>0</v>
      </c>
    </row>
    <row r="76" spans="1:10" s="184" customFormat="1" ht="20.100000000000001" customHeight="1">
      <c r="A76" s="226" t="s">
        <v>42</v>
      </c>
      <c r="B76" s="988" t="s">
        <v>629</v>
      </c>
      <c r="C76" s="988"/>
      <c r="D76" s="988"/>
      <c r="E76" s="988"/>
      <c r="F76" s="988"/>
      <c r="G76" s="988"/>
      <c r="H76" s="433">
        <v>0</v>
      </c>
      <c r="I76" s="406">
        <f t="shared" si="16"/>
        <v>0</v>
      </c>
      <c r="J76" s="406">
        <f t="shared" si="17"/>
        <v>0</v>
      </c>
    </row>
    <row r="77" spans="1:10" s="184" customFormat="1" ht="20.100000000000001" customHeight="1">
      <c r="A77" s="226" t="s">
        <v>44</v>
      </c>
      <c r="B77" s="988" t="s">
        <v>630</v>
      </c>
      <c r="C77" s="988"/>
      <c r="D77" s="988"/>
      <c r="E77" s="988"/>
      <c r="F77" s="988"/>
      <c r="G77" s="988"/>
      <c r="H77" s="433">
        <v>0</v>
      </c>
      <c r="I77" s="406">
        <f t="shared" si="16"/>
        <v>0</v>
      </c>
      <c r="J77" s="406">
        <f t="shared" si="17"/>
        <v>0</v>
      </c>
    </row>
    <row r="78" spans="1:10" s="184" customFormat="1" ht="22.5" customHeight="1">
      <c r="A78" s="226" t="s">
        <v>27</v>
      </c>
      <c r="B78" s="988" t="s">
        <v>631</v>
      </c>
      <c r="C78" s="988"/>
      <c r="D78" s="988"/>
      <c r="E78" s="988"/>
      <c r="F78" s="988"/>
      <c r="G78" s="988"/>
      <c r="H78" s="433">
        <v>0</v>
      </c>
      <c r="I78" s="406">
        <f t="shared" si="16"/>
        <v>0</v>
      </c>
      <c r="J78" s="406">
        <f t="shared" si="17"/>
        <v>0</v>
      </c>
    </row>
    <row r="79" spans="1:10" s="184" customFormat="1" ht="20.100000000000001" customHeight="1">
      <c r="A79" s="226" t="s">
        <v>67</v>
      </c>
      <c r="B79" s="988" t="s">
        <v>632</v>
      </c>
      <c r="C79" s="988"/>
      <c r="D79" s="988"/>
      <c r="E79" s="988"/>
      <c r="F79" s="988"/>
      <c r="G79" s="988"/>
      <c r="H79" s="433">
        <v>0</v>
      </c>
      <c r="I79" s="406">
        <f t="shared" si="16"/>
        <v>0</v>
      </c>
      <c r="J79" s="406">
        <f t="shared" si="17"/>
        <v>0</v>
      </c>
    </row>
    <row r="80" spans="1:10" s="184" customFormat="1" ht="20.100000000000001" customHeight="1">
      <c r="A80" s="226" t="s">
        <v>82</v>
      </c>
      <c r="B80" s="988" t="s">
        <v>633</v>
      </c>
      <c r="C80" s="988"/>
      <c r="D80" s="988"/>
      <c r="E80" s="988"/>
      <c r="F80" s="988"/>
      <c r="G80" s="988"/>
      <c r="H80" s="433">
        <v>0</v>
      </c>
      <c r="I80" s="406">
        <f t="shared" si="16"/>
        <v>0</v>
      </c>
      <c r="J80" s="406">
        <f t="shared" si="17"/>
        <v>0</v>
      </c>
    </row>
    <row r="81" spans="1:10" s="184" customFormat="1" ht="20.100000000000001" customHeight="1">
      <c r="A81" s="1001" t="s">
        <v>85</v>
      </c>
      <c r="B81" s="1001"/>
      <c r="C81" s="1001"/>
      <c r="D81" s="1001"/>
      <c r="E81" s="1001"/>
      <c r="F81" s="1001"/>
      <c r="G81" s="1001"/>
      <c r="H81" s="398">
        <f t="shared" ref="H81" si="18">SUM(H74:H80)</f>
        <v>9.1200000000000003E-2</v>
      </c>
      <c r="I81" s="407">
        <f t="shared" ref="I81:J81" si="19">TRUNC(SUM(I74:I80),2)</f>
        <v>129.76</v>
      </c>
      <c r="J81" s="407">
        <f t="shared" si="19"/>
        <v>134.62</v>
      </c>
    </row>
    <row r="82" spans="1:10" s="184" customFormat="1" ht="20.100000000000001" customHeight="1">
      <c r="A82" s="226" t="s">
        <v>61</v>
      </c>
      <c r="B82" s="988" t="s">
        <v>276</v>
      </c>
      <c r="C82" s="988"/>
      <c r="D82" s="988"/>
      <c r="E82" s="988"/>
      <c r="F82" s="988"/>
      <c r="G82" s="988"/>
      <c r="H82" s="409">
        <f>H46*H81</f>
        <v>3.0825600000000002E-2</v>
      </c>
      <c r="I82" s="406">
        <f>ROUND(H46*I81,2)</f>
        <v>43.86</v>
      </c>
      <c r="J82" s="406">
        <f>ROUND(H46*J81,2)</f>
        <v>45.5</v>
      </c>
    </row>
    <row r="83" spans="1:10" s="184" customFormat="1" ht="20.100000000000001" customHeight="1">
      <c r="A83" s="1001" t="s">
        <v>84</v>
      </c>
      <c r="B83" s="1001"/>
      <c r="C83" s="1001"/>
      <c r="D83" s="1001"/>
      <c r="E83" s="1001"/>
      <c r="F83" s="1001"/>
      <c r="G83" s="1001"/>
      <c r="H83" s="398">
        <f>H81+H82</f>
        <v>0.12202560000000001</v>
      </c>
      <c r="I83" s="407">
        <f t="shared" ref="I83:J83" si="20">TRUNC(SUM(I81:I82),2)</f>
        <v>173.62</v>
      </c>
      <c r="J83" s="407">
        <f t="shared" si="20"/>
        <v>180.12</v>
      </c>
    </row>
    <row r="84" spans="1:10" s="184" customFormat="1" ht="18" customHeight="1">
      <c r="A84" s="976" t="s">
        <v>275</v>
      </c>
      <c r="B84" s="976"/>
      <c r="C84" s="976"/>
      <c r="D84" s="976"/>
      <c r="E84" s="976"/>
      <c r="F84" s="976"/>
      <c r="G84" s="976"/>
      <c r="H84" s="976"/>
      <c r="I84" s="977"/>
      <c r="J84" s="977"/>
    </row>
    <row r="85" spans="1:10" s="184" customFormat="1" ht="20.100000000000001" customHeight="1">
      <c r="A85" s="250">
        <v>5</v>
      </c>
      <c r="B85" s="985" t="s">
        <v>70</v>
      </c>
      <c r="C85" s="985"/>
      <c r="D85" s="985"/>
      <c r="E85" s="985"/>
      <c r="F85" s="985"/>
      <c r="G85" s="985"/>
      <c r="H85" s="985"/>
      <c r="I85" s="404" t="s">
        <v>60</v>
      </c>
      <c r="J85" s="404" t="s">
        <v>60</v>
      </c>
    </row>
    <row r="86" spans="1:10" s="184" customFormat="1" ht="20.100000000000001" customHeight="1">
      <c r="A86" s="226" t="s">
        <v>38</v>
      </c>
      <c r="B86" s="988" t="s">
        <v>71</v>
      </c>
      <c r="C86" s="988"/>
      <c r="D86" s="988"/>
      <c r="E86" s="988"/>
      <c r="F86" s="988"/>
      <c r="G86" s="988"/>
      <c r="H86" s="989"/>
      <c r="I86" s="406">
        <f>Uniforme!I20</f>
        <v>0</v>
      </c>
      <c r="J86" s="406">
        <f>Uniforme!I20</f>
        <v>0</v>
      </c>
    </row>
    <row r="87" spans="1:10" s="184" customFormat="1" ht="20.100000000000001" customHeight="1">
      <c r="A87" s="226" t="s">
        <v>40</v>
      </c>
      <c r="B87" s="988" t="s">
        <v>72</v>
      </c>
      <c r="C87" s="988"/>
      <c r="D87" s="988"/>
      <c r="E87" s="988"/>
      <c r="F87" s="988"/>
      <c r="G87" s="988"/>
      <c r="H87" s="989"/>
      <c r="I87" s="406">
        <f>'Mat. Limpeza'!L60</f>
        <v>517.75927536231882</v>
      </c>
      <c r="J87" s="406">
        <f>'Mat. Limpeza'!L60</f>
        <v>517.75927536231882</v>
      </c>
    </row>
    <row r="88" spans="1:10" s="184" customFormat="1" ht="20.100000000000001" customHeight="1">
      <c r="A88" s="226" t="s">
        <v>42</v>
      </c>
      <c r="B88" s="988" t="s">
        <v>73</v>
      </c>
      <c r="C88" s="988"/>
      <c r="D88" s="988"/>
      <c r="E88" s="988"/>
      <c r="F88" s="988"/>
      <c r="G88" s="988"/>
      <c r="H88" s="989"/>
      <c r="I88" s="406">
        <f>'Eq. Limpeza'!L34</f>
        <v>16.791807065217395</v>
      </c>
      <c r="J88" s="406">
        <f>'Eq. Limpeza'!L34</f>
        <v>16.791807065217395</v>
      </c>
    </row>
    <row r="89" spans="1:10" s="184" customFormat="1" ht="20.100000000000001" customHeight="1">
      <c r="A89" s="226" t="s">
        <v>44</v>
      </c>
      <c r="B89" s="988" t="s">
        <v>74</v>
      </c>
      <c r="C89" s="988"/>
      <c r="D89" s="988"/>
      <c r="E89" s="988"/>
      <c r="F89" s="988"/>
      <c r="G89" s="988"/>
      <c r="H89" s="989"/>
      <c r="I89" s="406"/>
      <c r="J89" s="406"/>
    </row>
    <row r="90" spans="1:10" s="184" customFormat="1" ht="20.100000000000001" customHeight="1">
      <c r="A90" s="1001" t="s">
        <v>75</v>
      </c>
      <c r="B90" s="1001"/>
      <c r="C90" s="1001"/>
      <c r="D90" s="1001"/>
      <c r="E90" s="1001"/>
      <c r="F90" s="1001"/>
      <c r="G90" s="1001"/>
      <c r="H90" s="1001"/>
      <c r="I90" s="406">
        <f t="shared" ref="I90:J90" si="21">TRUNC(SUM(I86:I89),2)</f>
        <v>534.54999999999995</v>
      </c>
      <c r="J90" s="406">
        <f t="shared" si="21"/>
        <v>534.54999999999995</v>
      </c>
    </row>
    <row r="91" spans="1:10" s="184" customFormat="1" ht="20.100000000000001" customHeight="1">
      <c r="A91" s="999" t="s">
        <v>76</v>
      </c>
      <c r="B91" s="999"/>
      <c r="C91" s="999"/>
      <c r="D91" s="999"/>
      <c r="E91" s="999"/>
      <c r="F91" s="999"/>
      <c r="G91" s="999"/>
      <c r="H91" s="999"/>
      <c r="I91" s="999"/>
      <c r="J91" s="216"/>
    </row>
    <row r="92" spans="1:10" s="184" customFormat="1" ht="20.100000000000001" customHeight="1">
      <c r="A92" s="976" t="s">
        <v>274</v>
      </c>
      <c r="B92" s="976"/>
      <c r="C92" s="976"/>
      <c r="D92" s="976"/>
      <c r="E92" s="976"/>
      <c r="F92" s="976"/>
      <c r="G92" s="976"/>
      <c r="H92" s="976"/>
      <c r="I92" s="976"/>
      <c r="J92" s="976"/>
    </row>
    <row r="93" spans="1:10" s="184" customFormat="1" ht="25.2" customHeight="1">
      <c r="A93" s="250">
        <v>6</v>
      </c>
      <c r="B93" s="985" t="s">
        <v>88</v>
      </c>
      <c r="C93" s="985"/>
      <c r="D93" s="985"/>
      <c r="E93" s="985"/>
      <c r="F93" s="985"/>
      <c r="G93" s="985"/>
      <c r="H93" s="250" t="s">
        <v>59</v>
      </c>
      <c r="I93" s="429" t="s">
        <v>60</v>
      </c>
      <c r="J93" s="429" t="s">
        <v>60</v>
      </c>
    </row>
    <row r="94" spans="1:10" s="184" customFormat="1" ht="22.95" customHeight="1">
      <c r="A94" s="226" t="s">
        <v>38</v>
      </c>
      <c r="B94" s="988" t="s">
        <v>90</v>
      </c>
      <c r="C94" s="988"/>
      <c r="D94" s="988"/>
      <c r="E94" s="988"/>
      <c r="F94" s="988"/>
      <c r="G94" s="988"/>
      <c r="H94" s="425">
        <v>0</v>
      </c>
      <c r="I94" s="406">
        <f>ROUND(H94*I111,2)</f>
        <v>0</v>
      </c>
      <c r="J94" s="406">
        <f>ROUND(H94*J111,2)</f>
        <v>0</v>
      </c>
    </row>
    <row r="95" spans="1:10" s="184" customFormat="1" ht="21" customHeight="1">
      <c r="A95" s="226" t="s">
        <v>40</v>
      </c>
      <c r="B95" s="988" t="s">
        <v>91</v>
      </c>
      <c r="C95" s="988"/>
      <c r="D95" s="988"/>
      <c r="E95" s="988"/>
      <c r="F95" s="988"/>
      <c r="G95" s="988"/>
      <c r="H95" s="425">
        <v>0</v>
      </c>
      <c r="I95" s="406">
        <f>ROUND((I111+I94)*H95,2)</f>
        <v>0</v>
      </c>
      <c r="J95" s="406">
        <f>ROUND((J111+J94)*H95,2)</f>
        <v>0</v>
      </c>
    </row>
    <row r="96" spans="1:10" s="184" customFormat="1" ht="23.25" customHeight="1">
      <c r="A96" s="955" t="s">
        <v>42</v>
      </c>
      <c r="B96" s="988" t="s">
        <v>92</v>
      </c>
      <c r="C96" s="988"/>
      <c r="D96" s="988"/>
      <c r="E96" s="988"/>
      <c r="F96" s="988"/>
      <c r="G96" s="988"/>
      <c r="H96" s="426">
        <f>SUM(H98:H101)</f>
        <v>0</v>
      </c>
      <c r="I96" s="406">
        <f>TRUNC(SUM(I98:I101),2)</f>
        <v>0</v>
      </c>
      <c r="J96" s="406">
        <f>TRUNC(SUM(J98:J101),2)</f>
        <v>0</v>
      </c>
    </row>
    <row r="97" spans="1:10" s="184" customFormat="1" ht="20.100000000000001" customHeight="1">
      <c r="A97" s="955"/>
      <c r="B97" s="988" t="s">
        <v>343</v>
      </c>
      <c r="C97" s="988"/>
      <c r="D97" s="988"/>
      <c r="E97" s="988"/>
      <c r="F97" s="988"/>
      <c r="G97" s="988"/>
      <c r="H97" s="427"/>
      <c r="I97" s="406"/>
      <c r="J97" s="406"/>
    </row>
    <row r="98" spans="1:10" s="184" customFormat="1" ht="27.75" customHeight="1">
      <c r="A98" s="955"/>
      <c r="B98" s="1000" t="s">
        <v>354</v>
      </c>
      <c r="C98" s="1000"/>
      <c r="D98" s="1000"/>
      <c r="E98" s="1000"/>
      <c r="F98" s="1000"/>
      <c r="G98" s="1000"/>
      <c r="H98" s="428">
        <v>0</v>
      </c>
      <c r="I98" s="406">
        <f>ROUND(I113*H98,2)</f>
        <v>0</v>
      </c>
      <c r="J98" s="406">
        <f>ROUND(J113*H98,2)</f>
        <v>0</v>
      </c>
    </row>
    <row r="99" spans="1:10" s="184" customFormat="1" ht="20.100000000000001" customHeight="1">
      <c r="A99" s="955"/>
      <c r="B99" s="1000" t="s">
        <v>353</v>
      </c>
      <c r="C99" s="1000"/>
      <c r="D99" s="1000"/>
      <c r="E99" s="1000"/>
      <c r="F99" s="1000"/>
      <c r="G99" s="1000"/>
      <c r="H99" s="428">
        <v>0</v>
      </c>
      <c r="I99" s="406">
        <f>ROUND(I113*H99,2)</f>
        <v>0</v>
      </c>
      <c r="J99" s="406">
        <f>ROUND(J113*H99,2)</f>
        <v>0</v>
      </c>
    </row>
    <row r="100" spans="1:10" s="184" customFormat="1" ht="20.100000000000001" customHeight="1">
      <c r="A100" s="955"/>
      <c r="B100" s="988" t="s">
        <v>352</v>
      </c>
      <c r="C100" s="1000"/>
      <c r="D100" s="1000"/>
      <c r="E100" s="1000"/>
      <c r="F100" s="1000"/>
      <c r="G100" s="1000"/>
      <c r="H100" s="428">
        <v>0</v>
      </c>
      <c r="I100" s="406">
        <f>ROUND(I113*H100,2)</f>
        <v>0</v>
      </c>
      <c r="J100" s="406">
        <f>ROUND(J113*H100,2)</f>
        <v>0</v>
      </c>
    </row>
    <row r="101" spans="1:10" s="184" customFormat="1" ht="20.100000000000001" customHeight="1">
      <c r="A101" s="1339"/>
      <c r="B101" s="988" t="s">
        <v>675</v>
      </c>
      <c r="C101" s="1000"/>
      <c r="D101" s="1000"/>
      <c r="E101" s="1000"/>
      <c r="F101" s="1000"/>
      <c r="G101" s="1000"/>
      <c r="H101" s="428">
        <v>0</v>
      </c>
      <c r="I101" s="406">
        <f>ROUND(I113*H101,2)</f>
        <v>0</v>
      </c>
      <c r="J101" s="481">
        <f>ROUND(J113*H101,2)</f>
        <v>0</v>
      </c>
    </row>
    <row r="102" spans="1:10" s="184" customFormat="1" ht="16.5" customHeight="1">
      <c r="A102" s="1001" t="s">
        <v>344</v>
      </c>
      <c r="B102" s="1001"/>
      <c r="C102" s="1001"/>
      <c r="D102" s="1001"/>
      <c r="E102" s="1001"/>
      <c r="F102" s="1001"/>
      <c r="G102" s="1001"/>
      <c r="H102" s="1007"/>
      <c r="I102" s="407">
        <f t="shared" ref="I102:J102" si="22">TRUNC(SUM(I94:I96),2)</f>
        <v>0</v>
      </c>
      <c r="J102" s="407">
        <f t="shared" si="22"/>
        <v>0</v>
      </c>
    </row>
    <row r="103" spans="1:10" s="184" customFormat="1" ht="20.100000000000001" customHeight="1">
      <c r="A103" s="997"/>
      <c r="B103" s="997"/>
      <c r="C103" s="997"/>
      <c r="D103" s="997"/>
      <c r="E103" s="997"/>
      <c r="F103" s="997"/>
      <c r="G103" s="997"/>
      <c r="H103" s="997"/>
      <c r="I103" s="998"/>
      <c r="J103" s="430"/>
    </row>
    <row r="104" spans="1:10" s="184" customFormat="1" ht="20.100000000000001" customHeight="1">
      <c r="A104" s="1008" t="s">
        <v>218</v>
      </c>
      <c r="B104" s="1008"/>
      <c r="C104" s="1008"/>
      <c r="D104" s="1008"/>
      <c r="E104" s="1008"/>
      <c r="F104" s="1008"/>
      <c r="G104" s="1008"/>
      <c r="H104" s="1008"/>
      <c r="I104" s="1008"/>
      <c r="J104" s="1008"/>
    </row>
    <row r="105" spans="1:10" s="184" customFormat="1" ht="22.2" customHeight="1">
      <c r="A105" s="985" t="s">
        <v>93</v>
      </c>
      <c r="B105" s="985"/>
      <c r="C105" s="985"/>
      <c r="D105" s="985"/>
      <c r="E105" s="985"/>
      <c r="F105" s="985"/>
      <c r="G105" s="985"/>
      <c r="H105" s="985"/>
      <c r="I105" s="404" t="s">
        <v>60</v>
      </c>
      <c r="J105" s="404" t="s">
        <v>60</v>
      </c>
    </row>
    <row r="106" spans="1:10" s="184" customFormat="1" ht="20.100000000000001" customHeight="1">
      <c r="A106" s="192" t="s">
        <v>38</v>
      </c>
      <c r="B106" s="988" t="s">
        <v>94</v>
      </c>
      <c r="C106" s="988"/>
      <c r="D106" s="988"/>
      <c r="E106" s="988"/>
      <c r="F106" s="988"/>
      <c r="G106" s="988"/>
      <c r="H106" s="989"/>
      <c r="I106" s="406">
        <f t="shared" ref="I106:J106" si="23">I27</f>
        <v>1422.8</v>
      </c>
      <c r="J106" s="406">
        <f t="shared" si="23"/>
        <v>1476.06</v>
      </c>
    </row>
    <row r="107" spans="1:10" s="184" customFormat="1" ht="20.100000000000001" customHeight="1">
      <c r="A107" s="192" t="s">
        <v>40</v>
      </c>
      <c r="B107" s="988" t="s">
        <v>273</v>
      </c>
      <c r="C107" s="988"/>
      <c r="D107" s="988"/>
      <c r="E107" s="988"/>
      <c r="F107" s="988"/>
      <c r="G107" s="988"/>
      <c r="H107" s="989"/>
      <c r="I107" s="406">
        <f t="shared" ref="I107:J107" si="24">I62</f>
        <v>1142.6500000000001</v>
      </c>
      <c r="J107" s="406">
        <f t="shared" si="24"/>
        <v>1168.6899999999998</v>
      </c>
    </row>
    <row r="108" spans="1:10" s="184" customFormat="1" ht="20.100000000000001" customHeight="1">
      <c r="A108" s="192" t="s">
        <v>42</v>
      </c>
      <c r="B108" s="988" t="s">
        <v>272</v>
      </c>
      <c r="C108" s="988"/>
      <c r="D108" s="988"/>
      <c r="E108" s="988"/>
      <c r="F108" s="988"/>
      <c r="G108" s="988"/>
      <c r="H108" s="989"/>
      <c r="I108" s="406">
        <f t="shared" ref="I108:J108" si="25">I71</f>
        <v>108.06</v>
      </c>
      <c r="J108" s="406">
        <f t="shared" si="25"/>
        <v>112.12</v>
      </c>
    </row>
    <row r="109" spans="1:10" s="184" customFormat="1" ht="20.100000000000001" customHeight="1">
      <c r="A109" s="192" t="s">
        <v>44</v>
      </c>
      <c r="B109" s="988" t="s">
        <v>271</v>
      </c>
      <c r="C109" s="988"/>
      <c r="D109" s="988"/>
      <c r="E109" s="988"/>
      <c r="F109" s="988"/>
      <c r="G109" s="988"/>
      <c r="H109" s="989"/>
      <c r="I109" s="406">
        <f t="shared" ref="I109:J109" si="26">I83</f>
        <v>173.62</v>
      </c>
      <c r="J109" s="406">
        <f t="shared" si="26"/>
        <v>180.12</v>
      </c>
    </row>
    <row r="110" spans="1:10" s="184" customFormat="1" ht="20.100000000000001" customHeight="1">
      <c r="A110" s="192" t="s">
        <v>27</v>
      </c>
      <c r="B110" s="988" t="s">
        <v>270</v>
      </c>
      <c r="C110" s="988"/>
      <c r="D110" s="988"/>
      <c r="E110" s="988"/>
      <c r="F110" s="988"/>
      <c r="G110" s="988"/>
      <c r="H110" s="989"/>
      <c r="I110" s="406">
        <f t="shared" ref="I110:J110" si="27">I90</f>
        <v>534.54999999999995</v>
      </c>
      <c r="J110" s="406">
        <f t="shared" si="27"/>
        <v>534.54999999999995</v>
      </c>
    </row>
    <row r="111" spans="1:10" s="184" customFormat="1" ht="20.100000000000001" customHeight="1">
      <c r="A111" s="1002" t="s">
        <v>342</v>
      </c>
      <c r="B111" s="1002"/>
      <c r="C111" s="1002"/>
      <c r="D111" s="1002"/>
      <c r="E111" s="1002"/>
      <c r="F111" s="1002"/>
      <c r="G111" s="1002"/>
      <c r="H111" s="1003"/>
      <c r="I111" s="407">
        <f t="shared" ref="I111:J111" si="28">TRUNC(SUM(I106:I110),2)</f>
        <v>3381.68</v>
      </c>
      <c r="J111" s="407">
        <f t="shared" si="28"/>
        <v>3471.54</v>
      </c>
    </row>
    <row r="112" spans="1:10" s="184" customFormat="1" ht="20.100000000000001" customHeight="1">
      <c r="A112" s="223" t="s">
        <v>67</v>
      </c>
      <c r="B112" s="988" t="s">
        <v>269</v>
      </c>
      <c r="C112" s="988"/>
      <c r="D112" s="988"/>
      <c r="E112" s="988"/>
      <c r="F112" s="988"/>
      <c r="G112" s="988"/>
      <c r="H112" s="989"/>
      <c r="I112" s="406">
        <f t="shared" ref="I112:J112" si="29">I102</f>
        <v>0</v>
      </c>
      <c r="J112" s="406">
        <f t="shared" si="29"/>
        <v>0</v>
      </c>
    </row>
    <row r="113" spans="1:220" s="184" customFormat="1" ht="20.100000000000001" customHeight="1">
      <c r="A113" s="1004" t="s">
        <v>95</v>
      </c>
      <c r="B113" s="1004"/>
      <c r="C113" s="1004"/>
      <c r="D113" s="1004"/>
      <c r="E113" s="1004"/>
      <c r="F113" s="1004"/>
      <c r="G113" s="1004"/>
      <c r="H113" s="1004"/>
      <c r="I113" s="443">
        <f>TRUNC((I111+I94+I95)/(1-H96),2)</f>
        <v>3381.68</v>
      </c>
      <c r="J113" s="443">
        <f>TRUNC((J111+J94+J95)/(1-H96),2)</f>
        <v>3471.54</v>
      </c>
      <c r="K113" s="448"/>
    </row>
    <row r="114" spans="1:220" ht="20.100000000000001" customHeight="1">
      <c r="A114" s="193"/>
      <c r="B114" s="193"/>
      <c r="C114" s="193"/>
      <c r="D114" s="193"/>
      <c r="E114" s="193"/>
      <c r="F114" s="193"/>
      <c r="G114" s="193"/>
      <c r="H114" s="194"/>
      <c r="I114" s="195"/>
      <c r="J114" s="195"/>
      <c r="HB114" s="185"/>
      <c r="HC114" s="185"/>
      <c r="HD114" s="185"/>
      <c r="HE114" s="185"/>
      <c r="HF114" s="185"/>
      <c r="HG114" s="185"/>
      <c r="HH114" s="185"/>
      <c r="HI114" s="185"/>
      <c r="HJ114" s="185"/>
      <c r="HK114" s="185"/>
      <c r="HL114" s="185"/>
    </row>
    <row r="115" spans="1:220" ht="36.6" customHeight="1">
      <c r="A115" s="958" t="s">
        <v>357</v>
      </c>
      <c r="B115" s="958"/>
      <c r="C115" s="958"/>
      <c r="D115" s="958"/>
      <c r="E115" s="958"/>
      <c r="F115" s="958"/>
      <c r="G115" s="958"/>
      <c r="H115" s="958"/>
      <c r="I115" s="1062"/>
      <c r="J115" s="1062"/>
      <c r="HB115" s="185"/>
      <c r="HC115" s="185"/>
      <c r="HD115" s="185"/>
      <c r="HE115" s="185"/>
      <c r="HF115" s="185"/>
      <c r="HG115" s="185"/>
      <c r="HH115" s="185"/>
      <c r="HI115" s="185"/>
      <c r="HJ115" s="185"/>
      <c r="HK115" s="185"/>
      <c r="HL115" s="185"/>
    </row>
    <row r="116" spans="1:220" ht="22.95" customHeight="1">
      <c r="A116" s="225" t="s">
        <v>12</v>
      </c>
      <c r="B116" s="1006" t="s">
        <v>96</v>
      </c>
      <c r="C116" s="1006"/>
      <c r="D116" s="225" t="s">
        <v>349</v>
      </c>
      <c r="E116" s="225" t="s">
        <v>14</v>
      </c>
      <c r="F116" s="225" t="s">
        <v>350</v>
      </c>
      <c r="G116" s="225" t="s">
        <v>348</v>
      </c>
      <c r="H116" s="444" t="s">
        <v>351</v>
      </c>
      <c r="I116" s="423" t="s">
        <v>340</v>
      </c>
      <c r="J116" s="423" t="s">
        <v>615</v>
      </c>
      <c r="HB116" s="185"/>
      <c r="HC116" s="185"/>
      <c r="HD116" s="185"/>
      <c r="HE116" s="185"/>
      <c r="HF116" s="185"/>
      <c r="HG116" s="185"/>
      <c r="HH116" s="185"/>
      <c r="HI116" s="185"/>
      <c r="HJ116" s="185"/>
      <c r="HK116" s="185"/>
      <c r="HL116" s="185"/>
    </row>
    <row r="117" spans="1:220" ht="25.2" customHeight="1">
      <c r="A117" s="994" t="s">
        <v>19</v>
      </c>
      <c r="B117" s="992" t="s">
        <v>20</v>
      </c>
      <c r="C117" s="992"/>
      <c r="D117" s="248">
        <f>'Área Total'!D21+'Área Total'!D39+'Área Total'!D60</f>
        <v>1433.72</v>
      </c>
      <c r="E117" s="235">
        <v>800</v>
      </c>
      <c r="F117" s="236">
        <f t="shared" ref="F117:F125" si="30">1/E117</f>
        <v>1.25E-3</v>
      </c>
      <c r="G117" s="237">
        <f>I113</f>
        <v>3381.68</v>
      </c>
      <c r="H117" s="421">
        <f>ROUND((F117*G117),2)</f>
        <v>4.2300000000000004</v>
      </c>
      <c r="I117" s="424">
        <f>ROUND((H117*D117),2)</f>
        <v>6064.64</v>
      </c>
      <c r="J117" s="424">
        <f t="shared" ref="J117:J125" si="31">I117*20</f>
        <v>121292.8</v>
      </c>
      <c r="HB117" s="185"/>
      <c r="HC117" s="185"/>
      <c r="HD117" s="185"/>
      <c r="HE117" s="185"/>
      <c r="HF117" s="185"/>
      <c r="HG117" s="185"/>
      <c r="HH117" s="185"/>
      <c r="HI117" s="185"/>
      <c r="HJ117" s="185"/>
      <c r="HK117" s="185"/>
      <c r="HL117" s="185"/>
    </row>
    <row r="118" spans="1:220" ht="25.2" customHeight="1">
      <c r="A118" s="995"/>
      <c r="B118" s="1063" t="s">
        <v>453</v>
      </c>
      <c r="C118" s="1064"/>
      <c r="D118" s="248">
        <f>'Área Total'!D61</f>
        <v>6.07</v>
      </c>
      <c r="E118" s="235">
        <v>200</v>
      </c>
      <c r="F118" s="239">
        <f t="shared" si="30"/>
        <v>5.0000000000000001E-3</v>
      </c>
      <c r="G118" s="237">
        <f>I113</f>
        <v>3381.68</v>
      </c>
      <c r="H118" s="421">
        <f>ROUND((F118*G118),2)</f>
        <v>16.91</v>
      </c>
      <c r="I118" s="424">
        <f t="shared" ref="I118:I126" si="32">ROUND((H118*D118),2)</f>
        <v>102.64</v>
      </c>
      <c r="J118" s="424">
        <f t="shared" si="31"/>
        <v>2052.8000000000002</v>
      </c>
      <c r="HB118" s="185"/>
      <c r="HC118" s="185"/>
      <c r="HD118" s="185"/>
      <c r="HE118" s="185"/>
      <c r="HF118" s="185"/>
      <c r="HG118" s="185"/>
      <c r="HH118" s="185"/>
      <c r="HI118" s="185"/>
      <c r="HJ118" s="185"/>
      <c r="HK118" s="185"/>
      <c r="HL118" s="185"/>
    </row>
    <row r="119" spans="1:220" ht="19.2" customHeight="1">
      <c r="A119" s="995"/>
      <c r="B119" s="975" t="s">
        <v>336</v>
      </c>
      <c r="C119" s="975"/>
      <c r="D119" s="249">
        <f>'Área Total'!D22+'Área Total'!D40</f>
        <v>80.95</v>
      </c>
      <c r="E119" s="246">
        <v>200</v>
      </c>
      <c r="F119" s="196">
        <f t="shared" si="30"/>
        <v>5.0000000000000001E-3</v>
      </c>
      <c r="G119" s="247">
        <f>J113</f>
        <v>3471.54</v>
      </c>
      <c r="H119" s="422">
        <f t="shared" ref="H119:H126" si="33">ROUND((F119*G119),2)</f>
        <v>17.36</v>
      </c>
      <c r="I119" s="424">
        <f t="shared" si="32"/>
        <v>1405.29</v>
      </c>
      <c r="J119" s="424">
        <f t="shared" si="31"/>
        <v>28105.8</v>
      </c>
      <c r="HB119" s="185"/>
      <c r="HC119" s="185"/>
      <c r="HD119" s="185"/>
      <c r="HE119" s="185"/>
      <c r="HF119" s="185"/>
      <c r="HG119" s="185"/>
      <c r="HH119" s="185"/>
      <c r="HI119" s="185"/>
      <c r="HJ119" s="185"/>
      <c r="HK119" s="185"/>
      <c r="HL119" s="185"/>
    </row>
    <row r="120" spans="1:220" ht="19.2" customHeight="1">
      <c r="A120" s="995"/>
      <c r="B120" s="992" t="s">
        <v>29</v>
      </c>
      <c r="C120" s="992"/>
      <c r="D120" s="238">
        <f>'Área Total'!D41</f>
        <v>175.46</v>
      </c>
      <c r="E120" s="235">
        <v>1000</v>
      </c>
      <c r="F120" s="240">
        <f>1/E120</f>
        <v>1E-3</v>
      </c>
      <c r="G120" s="237">
        <f>I113</f>
        <v>3381.68</v>
      </c>
      <c r="H120" s="421">
        <f>ROUND((F120*G120),2)</f>
        <v>3.38</v>
      </c>
      <c r="I120" s="424">
        <f>ROUND((H120*D120),2)</f>
        <v>593.04999999999995</v>
      </c>
      <c r="J120" s="424">
        <f t="shared" si="31"/>
        <v>11861</v>
      </c>
      <c r="HB120" s="185"/>
      <c r="HC120" s="185"/>
      <c r="HD120" s="185"/>
      <c r="HE120" s="185"/>
      <c r="HF120" s="185"/>
      <c r="HG120" s="185"/>
      <c r="HH120" s="185"/>
      <c r="HI120" s="185"/>
      <c r="HJ120" s="185"/>
      <c r="HK120" s="185"/>
      <c r="HL120" s="185"/>
    </row>
    <row r="121" spans="1:220" ht="25.2" customHeight="1">
      <c r="A121" s="995"/>
      <c r="B121" s="992" t="s">
        <v>402</v>
      </c>
      <c r="C121" s="992"/>
      <c r="D121" s="238">
        <f>'Área Total'!D23+'Área Total'!D42+'Área Total'!D62</f>
        <v>648.27</v>
      </c>
      <c r="E121" s="235">
        <v>1500</v>
      </c>
      <c r="F121" s="239">
        <f>1/E121</f>
        <v>6.6666666666666664E-4</v>
      </c>
      <c r="G121" s="237">
        <f>I113</f>
        <v>3381.68</v>
      </c>
      <c r="H121" s="421">
        <f>ROUND((F121*G121),2)</f>
        <v>2.25</v>
      </c>
      <c r="I121" s="424">
        <f>ROUND((H121*D121),2)</f>
        <v>1458.61</v>
      </c>
      <c r="J121" s="424">
        <f t="shared" si="31"/>
        <v>29172.199999999997</v>
      </c>
    </row>
    <row r="122" spans="1:220" s="184" customFormat="1" ht="34.950000000000003" customHeight="1">
      <c r="A122" s="994" t="s">
        <v>22</v>
      </c>
      <c r="B122" s="993" t="s">
        <v>97</v>
      </c>
      <c r="C122" s="993"/>
      <c r="D122" s="241">
        <f>'Área Total'!D24+'Área Total'!D25+'Área Total'!D43+'Área Total'!D44+'Área Total'!D45+'Área Total'!D63+'Área Total'!D64+'Área Total'!D65</f>
        <v>2165.63</v>
      </c>
      <c r="E122" s="235">
        <v>1800</v>
      </c>
      <c r="F122" s="239">
        <f t="shared" si="30"/>
        <v>5.5555555555555556E-4</v>
      </c>
      <c r="G122" s="237">
        <f>I113</f>
        <v>3381.68</v>
      </c>
      <c r="H122" s="421">
        <f t="shared" si="33"/>
        <v>1.88</v>
      </c>
      <c r="I122" s="424">
        <f t="shared" si="32"/>
        <v>4071.38</v>
      </c>
      <c r="J122" s="424">
        <f t="shared" si="31"/>
        <v>81427.600000000006</v>
      </c>
    </row>
    <row r="123" spans="1:220" s="184" customFormat="1" ht="31.2" customHeight="1">
      <c r="A123" s="995"/>
      <c r="B123" s="993" t="s">
        <v>24</v>
      </c>
      <c r="C123" s="993"/>
      <c r="D123" s="241">
        <f>'Área Total'!D46+'Área Total'!D47+'Área Total'!D66</f>
        <v>2833.6</v>
      </c>
      <c r="E123" s="235">
        <v>2700</v>
      </c>
      <c r="F123" s="239">
        <f t="shared" si="30"/>
        <v>3.7037037037037035E-4</v>
      </c>
      <c r="G123" s="237">
        <f>I113</f>
        <v>3381.68</v>
      </c>
      <c r="H123" s="421">
        <f t="shared" si="33"/>
        <v>1.25</v>
      </c>
      <c r="I123" s="424">
        <f t="shared" si="32"/>
        <v>3542</v>
      </c>
      <c r="J123" s="424">
        <f t="shared" si="31"/>
        <v>70840</v>
      </c>
    </row>
    <row r="124" spans="1:220" s="184" customFormat="1" ht="34.950000000000003" customHeight="1">
      <c r="A124" s="995"/>
      <c r="B124" s="993" t="s">
        <v>25</v>
      </c>
      <c r="C124" s="993"/>
      <c r="D124" s="241">
        <f>'Área Total'!D49</f>
        <v>546</v>
      </c>
      <c r="E124" s="235">
        <v>6000</v>
      </c>
      <c r="F124" s="239">
        <f t="shared" si="30"/>
        <v>1.6666666666666666E-4</v>
      </c>
      <c r="G124" s="237">
        <f>I113</f>
        <v>3381.68</v>
      </c>
      <c r="H124" s="421">
        <f t="shared" si="33"/>
        <v>0.56000000000000005</v>
      </c>
      <c r="I124" s="424">
        <f t="shared" si="32"/>
        <v>305.76</v>
      </c>
      <c r="J124" s="424">
        <f t="shared" si="31"/>
        <v>6115.2</v>
      </c>
    </row>
    <row r="125" spans="1:220" s="184" customFormat="1" ht="31.95" customHeight="1">
      <c r="A125" s="996"/>
      <c r="B125" s="993" t="s">
        <v>26</v>
      </c>
      <c r="C125" s="993"/>
      <c r="D125" s="241">
        <f>'Área Total'!D48</f>
        <v>1047.3</v>
      </c>
      <c r="E125" s="235">
        <v>100000</v>
      </c>
      <c r="F125" s="239">
        <f t="shared" si="30"/>
        <v>1.0000000000000001E-5</v>
      </c>
      <c r="G125" s="237">
        <f>I113</f>
        <v>3381.68</v>
      </c>
      <c r="H125" s="421">
        <f t="shared" si="33"/>
        <v>0.03</v>
      </c>
      <c r="I125" s="424">
        <f t="shared" si="32"/>
        <v>31.42</v>
      </c>
      <c r="J125" s="424">
        <f t="shared" si="31"/>
        <v>628.40000000000009</v>
      </c>
    </row>
    <row r="126" spans="1:220" s="184" customFormat="1" ht="25.2" customHeight="1">
      <c r="A126" s="693" t="s">
        <v>27</v>
      </c>
      <c r="B126" s="1041" t="s">
        <v>225</v>
      </c>
      <c r="C126" s="1041"/>
      <c r="D126" s="694">
        <f>'Área Total'!D26+'Área Total'!D27+'Área Total'!D50+'Área Total'!D51+'Área Total'!D67+'Área Total'!D68</f>
        <v>461.78000000000003</v>
      </c>
      <c r="E126" s="701">
        <v>300</v>
      </c>
      <c r="F126" s="702">
        <f>(1/300)*16*(1/188.76)</f>
        <v>2.8254573709119167E-4</v>
      </c>
      <c r="G126" s="703">
        <f>I113</f>
        <v>3381.68</v>
      </c>
      <c r="H126" s="696">
        <f t="shared" si="33"/>
        <v>0.96</v>
      </c>
      <c r="I126" s="424">
        <f t="shared" si="32"/>
        <v>443.31</v>
      </c>
      <c r="J126" s="424">
        <f t="shared" ref="J126" si="34">I126*12</f>
        <v>5319.72</v>
      </c>
    </row>
    <row r="127" spans="1:220" s="184" customFormat="1" ht="19.2" customHeight="1">
      <c r="A127" s="1042"/>
      <c r="B127" s="1042"/>
      <c r="C127" s="1042"/>
      <c r="D127" s="695">
        <f>SUM(D117:D126)</f>
        <v>9398.7800000000007</v>
      </c>
      <c r="E127" s="687"/>
      <c r="F127" s="687"/>
      <c r="G127" s="687"/>
      <c r="H127" s="688"/>
      <c r="I127" s="700"/>
      <c r="J127" s="446"/>
    </row>
    <row r="128" spans="1:220" ht="19.95" customHeight="1">
      <c r="A128" s="1052" t="s">
        <v>339</v>
      </c>
      <c r="B128" s="1052"/>
      <c r="C128" s="1052"/>
      <c r="D128" s="1052"/>
      <c r="E128" s="1052"/>
      <c r="F128" s="1052"/>
      <c r="G128" s="1052"/>
      <c r="H128" s="1065"/>
      <c r="I128" s="519">
        <f>TRUNC(SUM(I117:I127),2)</f>
        <v>18018.099999999999</v>
      </c>
      <c r="J128" s="519">
        <f>SUM(J117:J127)</f>
        <v>356815.51999999996</v>
      </c>
    </row>
    <row r="129" spans="1:10" s="184" customFormat="1" ht="19.2" customHeight="1">
      <c r="H129" s="201"/>
      <c r="I129" s="202"/>
      <c r="J129" s="202"/>
    </row>
    <row r="130" spans="1:10" s="184" customFormat="1" ht="20.399999999999999" customHeight="1">
      <c r="A130" s="961" t="s">
        <v>355</v>
      </c>
      <c r="B130" s="961"/>
      <c r="C130" s="961"/>
      <c r="D130" s="961"/>
      <c r="E130" s="961"/>
      <c r="F130" s="961"/>
      <c r="G130" s="961"/>
      <c r="H130" s="962"/>
      <c r="I130" s="447">
        <f>I128-I119</f>
        <v>16612.809999999998</v>
      </c>
      <c r="J130" s="447">
        <f>I130*20</f>
        <v>332256.19999999995</v>
      </c>
    </row>
    <row r="131" spans="1:10" s="184" customFormat="1">
      <c r="A131" s="963" t="s">
        <v>356</v>
      </c>
      <c r="B131" s="964"/>
      <c r="C131" s="964"/>
      <c r="D131" s="964"/>
      <c r="E131" s="964"/>
      <c r="F131" s="964"/>
      <c r="G131" s="964"/>
      <c r="H131" s="965"/>
      <c r="I131" s="447">
        <f>I119</f>
        <v>1405.29</v>
      </c>
      <c r="J131" s="447">
        <f>I131*20</f>
        <v>28105.8</v>
      </c>
    </row>
    <row r="132" spans="1:10">
      <c r="J132" s="218"/>
    </row>
    <row r="133" spans="1:10" ht="15" customHeight="1">
      <c r="C133" s="1043"/>
      <c r="D133" s="1043"/>
      <c r="E133" s="1043"/>
      <c r="F133" s="1043"/>
      <c r="G133" s="617"/>
      <c r="H133" s="615"/>
      <c r="I133" s="616"/>
      <c r="J133" s="616"/>
    </row>
    <row r="134" spans="1:10" ht="15" customHeight="1">
      <c r="C134" s="617"/>
      <c r="D134" s="617"/>
      <c r="E134" s="617"/>
      <c r="F134" s="617"/>
      <c r="G134" s="617"/>
      <c r="H134" s="615"/>
      <c r="I134" s="616"/>
      <c r="J134" s="616"/>
    </row>
    <row r="135" spans="1:10" ht="15" customHeight="1">
      <c r="C135" s="1053"/>
      <c r="D135" s="1053"/>
      <c r="E135" s="1053"/>
      <c r="F135" s="1053"/>
      <c r="G135" s="1053"/>
      <c r="H135" s="1053"/>
      <c r="I135" s="1053"/>
      <c r="J135" s="1053"/>
    </row>
    <row r="136" spans="1:10">
      <c r="C136" s="1053"/>
      <c r="D136" s="1053"/>
      <c r="E136" s="1053"/>
      <c r="F136" s="1053"/>
      <c r="G136" s="1053"/>
      <c r="H136" s="1053"/>
      <c r="I136" s="1053"/>
      <c r="J136" s="1053"/>
    </row>
  </sheetData>
  <mergeCells count="149">
    <mergeCell ref="C133:F133"/>
    <mergeCell ref="A113:H113"/>
    <mergeCell ref="A115:J115"/>
    <mergeCell ref="B116:C116"/>
    <mergeCell ref="A117:A121"/>
    <mergeCell ref="B117:C117"/>
    <mergeCell ref="B118:C118"/>
    <mergeCell ref="B119:C119"/>
    <mergeCell ref="B121:C121"/>
    <mergeCell ref="B120:C120"/>
    <mergeCell ref="A127:C127"/>
    <mergeCell ref="A128:H128"/>
    <mergeCell ref="A130:H130"/>
    <mergeCell ref="A131:H131"/>
    <mergeCell ref="A122:A125"/>
    <mergeCell ref="B122:C122"/>
    <mergeCell ref="B123:C123"/>
    <mergeCell ref="B124:C124"/>
    <mergeCell ref="B125:C125"/>
    <mergeCell ref="B126:C126"/>
    <mergeCell ref="B110:H110"/>
    <mergeCell ref="A111:H111"/>
    <mergeCell ref="B112:H112"/>
    <mergeCell ref="B100:G100"/>
    <mergeCell ref="A102:H102"/>
    <mergeCell ref="A103:I103"/>
    <mergeCell ref="A104:J104"/>
    <mergeCell ref="A105:H105"/>
    <mergeCell ref="B106:H106"/>
    <mergeCell ref="B107:H107"/>
    <mergeCell ref="B108:H108"/>
    <mergeCell ref="B109:H109"/>
    <mergeCell ref="B101:G101"/>
    <mergeCell ref="A91:I91"/>
    <mergeCell ref="A92:J92"/>
    <mergeCell ref="B93:G93"/>
    <mergeCell ref="B94:G94"/>
    <mergeCell ref="B95:G95"/>
    <mergeCell ref="A96:A100"/>
    <mergeCell ref="B96:G96"/>
    <mergeCell ref="B97:G97"/>
    <mergeCell ref="B98:G98"/>
    <mergeCell ref="B99:G99"/>
    <mergeCell ref="B86:H86"/>
    <mergeCell ref="B87:H87"/>
    <mergeCell ref="B88:H88"/>
    <mergeCell ref="B89:H89"/>
    <mergeCell ref="A90:H90"/>
    <mergeCell ref="B80:G80"/>
    <mergeCell ref="A81:G81"/>
    <mergeCell ref="B82:G82"/>
    <mergeCell ref="A83:G83"/>
    <mergeCell ref="A84:J84"/>
    <mergeCell ref="B85:H85"/>
    <mergeCell ref="B74:G74"/>
    <mergeCell ref="B75:G75"/>
    <mergeCell ref="B76:G76"/>
    <mergeCell ref="B77:G77"/>
    <mergeCell ref="B78:G78"/>
    <mergeCell ref="B79:G79"/>
    <mergeCell ref="B68:G68"/>
    <mergeCell ref="B69:G69"/>
    <mergeCell ref="B70:G70"/>
    <mergeCell ref="A71:G71"/>
    <mergeCell ref="A72:J72"/>
    <mergeCell ref="B73:H73"/>
    <mergeCell ref="A62:G62"/>
    <mergeCell ref="A63:J63"/>
    <mergeCell ref="B64:H64"/>
    <mergeCell ref="B65:G65"/>
    <mergeCell ref="B66:G66"/>
    <mergeCell ref="B67:G67"/>
    <mergeCell ref="A56:I56"/>
    <mergeCell ref="A57:J57"/>
    <mergeCell ref="B58:G58"/>
    <mergeCell ref="B59:G59"/>
    <mergeCell ref="B60:G60"/>
    <mergeCell ref="B61:G61"/>
    <mergeCell ref="B51:H51"/>
    <mergeCell ref="B52:H52"/>
    <mergeCell ref="B53:H53"/>
    <mergeCell ref="B54:H54"/>
    <mergeCell ref="B55:H55"/>
    <mergeCell ref="B50:F50"/>
    <mergeCell ref="B44:G44"/>
    <mergeCell ref="B45:G45"/>
    <mergeCell ref="A46:G46"/>
    <mergeCell ref="A47:J47"/>
    <mergeCell ref="B48:H48"/>
    <mergeCell ref="B49:H49"/>
    <mergeCell ref="B38:G38"/>
    <mergeCell ref="B39:G39"/>
    <mergeCell ref="B40:G40"/>
    <mergeCell ref="B41:G41"/>
    <mergeCell ref="B42:G42"/>
    <mergeCell ref="B43:G43"/>
    <mergeCell ref="B32:G32"/>
    <mergeCell ref="A33:G33"/>
    <mergeCell ref="B34:G34"/>
    <mergeCell ref="A35:G35"/>
    <mergeCell ref="A36:J36"/>
    <mergeCell ref="B37:G37"/>
    <mergeCell ref="B26:H26"/>
    <mergeCell ref="A27:H27"/>
    <mergeCell ref="A28:J28"/>
    <mergeCell ref="A29:J29"/>
    <mergeCell ref="B30:G30"/>
    <mergeCell ref="B31:G31"/>
    <mergeCell ref="A20:H20"/>
    <mergeCell ref="A21:J21"/>
    <mergeCell ref="B22:G22"/>
    <mergeCell ref="B23:H23"/>
    <mergeCell ref="B24:G24"/>
    <mergeCell ref="B25:G25"/>
    <mergeCell ref="I16:J16"/>
    <mergeCell ref="B17:H17"/>
    <mergeCell ref="I17:J17"/>
    <mergeCell ref="B18:H18"/>
    <mergeCell ref="I18:J18"/>
    <mergeCell ref="B13:H13"/>
    <mergeCell ref="I13:J13"/>
    <mergeCell ref="B14:H14"/>
    <mergeCell ref="I14:J14"/>
    <mergeCell ref="B15:H15"/>
    <mergeCell ref="I15:J15"/>
    <mergeCell ref="C135:J136"/>
    <mergeCell ref="A1:H1"/>
    <mergeCell ref="I1:J1"/>
    <mergeCell ref="A2:H2"/>
    <mergeCell ref="A3:J3"/>
    <mergeCell ref="B4:H4"/>
    <mergeCell ref="I4:J4"/>
    <mergeCell ref="B5:H5"/>
    <mergeCell ref="I5:J5"/>
    <mergeCell ref="A10:F10"/>
    <mergeCell ref="G10:H10"/>
    <mergeCell ref="I10:J10"/>
    <mergeCell ref="I12:J12"/>
    <mergeCell ref="B6:H6"/>
    <mergeCell ref="I6:J6"/>
    <mergeCell ref="B7:H7"/>
    <mergeCell ref="I7:J7"/>
    <mergeCell ref="A8:J8"/>
    <mergeCell ref="A9:F9"/>
    <mergeCell ref="G9:H9"/>
    <mergeCell ref="I9:J9"/>
    <mergeCell ref="B12:H12"/>
    <mergeCell ref="A11:J11"/>
    <mergeCell ref="B16:H16"/>
  </mergeCells>
  <pageMargins left="0.23622047244094491" right="0.23622047244094491" top="0.74803149606299213" bottom="0.74803149606299213" header="0.31496062992125984" footer="0.31496062992125984"/>
  <pageSetup paperSize="9" scale="10" firstPageNumber="0" fitToHeight="0" orientation="landscape" r:id="rId1"/>
  <ignoredErrors>
    <ignoredError sqref="J128:J129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66FF66"/>
    <pageSetUpPr fitToPage="1"/>
  </sheetPr>
  <dimension ref="A1:HN134"/>
  <sheetViews>
    <sheetView showGridLines="0" tabSelected="1" zoomScale="110" zoomScaleNormal="110" workbookViewId="0">
      <pane ySplit="1" topLeftCell="A92" activePane="bottomLeft" state="frozen"/>
      <selection pane="bottomLeft" activeCell="K104" sqref="K104"/>
    </sheetView>
  </sheetViews>
  <sheetFormatPr defaultColWidth="8.88671875" defaultRowHeight="13.8"/>
  <cols>
    <col min="1" max="1" width="5.5546875" style="184" customWidth="1"/>
    <col min="2" max="3" width="8.88671875" style="184"/>
    <col min="4" max="4" width="10.6640625" style="184" customWidth="1"/>
    <col min="5" max="5" width="8.88671875" style="184"/>
    <col min="6" max="6" width="12.88671875" style="184" customWidth="1"/>
    <col min="7" max="7" width="10.88671875" style="184" customWidth="1"/>
    <col min="8" max="8" width="12.6640625" style="201" customWidth="1"/>
    <col min="9" max="9" width="15.6640625" style="202" customWidth="1"/>
    <col min="10" max="16" width="8.88671875" style="184"/>
    <col min="17" max="17" width="11.6640625" style="184" customWidth="1"/>
    <col min="18" max="221" width="8.88671875" style="184"/>
    <col min="222" max="16384" width="8.88671875" style="185"/>
  </cols>
  <sheetData>
    <row r="1" spans="1:9" ht="31.2" customHeight="1">
      <c r="A1" s="1074" t="s">
        <v>603</v>
      </c>
      <c r="B1" s="1074"/>
      <c r="C1" s="1074"/>
      <c r="D1" s="1074"/>
      <c r="E1" s="1074"/>
      <c r="F1" s="1074"/>
      <c r="G1" s="1074"/>
      <c r="H1" s="1074"/>
      <c r="I1" s="752" t="s">
        <v>608</v>
      </c>
    </row>
    <row r="2" spans="1:9" s="184" customFormat="1" ht="20.100000000000001" customHeight="1">
      <c r="A2" s="966" t="s">
        <v>37</v>
      </c>
      <c r="B2" s="967"/>
      <c r="C2" s="967"/>
      <c r="D2" s="967"/>
      <c r="E2" s="967"/>
      <c r="F2" s="967"/>
      <c r="G2" s="967"/>
      <c r="H2" s="967"/>
      <c r="I2" s="968"/>
    </row>
    <row r="3" spans="1:9" s="184" customFormat="1" ht="20.100000000000001" customHeight="1">
      <c r="A3" s="226" t="s">
        <v>38</v>
      </c>
      <c r="B3" s="969" t="s">
        <v>39</v>
      </c>
      <c r="C3" s="970"/>
      <c r="D3" s="970"/>
      <c r="E3" s="970"/>
      <c r="F3" s="970"/>
      <c r="G3" s="970"/>
      <c r="H3" s="971"/>
      <c r="I3" s="411"/>
    </row>
    <row r="4" spans="1:9" s="184" customFormat="1" ht="20.100000000000001" customHeight="1">
      <c r="A4" s="226" t="s">
        <v>40</v>
      </c>
      <c r="B4" s="969" t="s">
        <v>41</v>
      </c>
      <c r="C4" s="970"/>
      <c r="D4" s="970"/>
      <c r="E4" s="970"/>
      <c r="F4" s="970"/>
      <c r="G4" s="970"/>
      <c r="H4" s="971"/>
      <c r="I4" s="412" t="s">
        <v>360</v>
      </c>
    </row>
    <row r="5" spans="1:9" s="184" customFormat="1" ht="20.100000000000001" customHeight="1">
      <c r="A5" s="226" t="s">
        <v>42</v>
      </c>
      <c r="B5" s="969" t="s">
        <v>43</v>
      </c>
      <c r="C5" s="970"/>
      <c r="D5" s="970"/>
      <c r="E5" s="970"/>
      <c r="F5" s="970"/>
      <c r="G5" s="970"/>
      <c r="H5" s="971"/>
      <c r="I5" s="412"/>
    </row>
    <row r="6" spans="1:9" s="184" customFormat="1" ht="20.100000000000001" customHeight="1">
      <c r="A6" s="226" t="s">
        <v>44</v>
      </c>
      <c r="B6" s="969" t="s">
        <v>45</v>
      </c>
      <c r="C6" s="970"/>
      <c r="D6" s="970"/>
      <c r="E6" s="970"/>
      <c r="F6" s="970"/>
      <c r="G6" s="970"/>
      <c r="H6" s="971"/>
      <c r="I6" s="412">
        <v>20</v>
      </c>
    </row>
    <row r="7" spans="1:9" s="184" customFormat="1" ht="20.100000000000001" customHeight="1">
      <c r="A7" s="972" t="s">
        <v>46</v>
      </c>
      <c r="B7" s="972"/>
      <c r="C7" s="972"/>
      <c r="D7" s="972"/>
      <c r="E7" s="972"/>
      <c r="F7" s="972"/>
      <c r="G7" s="972"/>
      <c r="H7" s="972"/>
      <c r="I7" s="973"/>
    </row>
    <row r="8" spans="1:9" s="184" customFormat="1" ht="54" customHeight="1">
      <c r="A8" s="958" t="s">
        <v>47</v>
      </c>
      <c r="B8" s="958"/>
      <c r="C8" s="958"/>
      <c r="D8" s="958"/>
      <c r="E8" s="958"/>
      <c r="F8" s="958"/>
      <c r="G8" s="958" t="s">
        <v>48</v>
      </c>
      <c r="H8" s="958"/>
      <c r="I8" s="439" t="s">
        <v>383</v>
      </c>
    </row>
    <row r="9" spans="1:9" s="184" customFormat="1" ht="20.100000000000001" customHeight="1">
      <c r="A9" s="955" t="s">
        <v>359</v>
      </c>
      <c r="B9" s="955"/>
      <c r="C9" s="955"/>
      <c r="D9" s="955"/>
      <c r="E9" s="955"/>
      <c r="F9" s="955"/>
      <c r="G9" s="955" t="s">
        <v>314</v>
      </c>
      <c r="H9" s="1055"/>
      <c r="I9" s="450">
        <v>1</v>
      </c>
    </row>
    <row r="10" spans="1:9" s="184" customFormat="1" ht="20.100000000000001" customHeight="1">
      <c r="A10" s="228" t="s">
        <v>51</v>
      </c>
      <c r="B10" s="228"/>
      <c r="C10" s="228"/>
      <c r="D10" s="228"/>
      <c r="E10" s="228"/>
      <c r="F10" s="228"/>
      <c r="G10" s="228"/>
      <c r="H10" s="228"/>
      <c r="I10" s="449"/>
    </row>
    <row r="11" spans="1:9" s="184" customFormat="1" ht="23.4" customHeight="1">
      <c r="A11" s="226">
        <v>1</v>
      </c>
      <c r="B11" s="969" t="s">
        <v>52</v>
      </c>
      <c r="C11" s="970"/>
      <c r="D11" s="970"/>
      <c r="E11" s="970"/>
      <c r="F11" s="970"/>
      <c r="G11" s="970"/>
      <c r="H11" s="971"/>
      <c r="I11" s="414" t="s">
        <v>464</v>
      </c>
    </row>
    <row r="12" spans="1:9" s="184" customFormat="1" ht="20.100000000000001" customHeight="1">
      <c r="A12" s="226">
        <v>2</v>
      </c>
      <c r="B12" s="969" t="s">
        <v>293</v>
      </c>
      <c r="C12" s="970"/>
      <c r="D12" s="970"/>
      <c r="E12" s="970"/>
      <c r="F12" s="970"/>
      <c r="G12" s="970"/>
      <c r="H12" s="971"/>
      <c r="I12" s="451" t="s">
        <v>294</v>
      </c>
    </row>
    <row r="13" spans="1:9" s="184" customFormat="1" ht="20.100000000000001" customHeight="1">
      <c r="A13" s="226">
        <v>3</v>
      </c>
      <c r="B13" s="969" t="s">
        <v>53</v>
      </c>
      <c r="C13" s="970"/>
      <c r="D13" s="970"/>
      <c r="E13" s="970"/>
      <c r="F13" s="970"/>
      <c r="G13" s="970"/>
      <c r="H13" s="971"/>
      <c r="I13" s="451">
        <v>1213.18</v>
      </c>
    </row>
    <row r="14" spans="1:9" s="184" customFormat="1" ht="20.100000000000001" customHeight="1">
      <c r="A14" s="226">
        <v>4</v>
      </c>
      <c r="B14" s="969" t="s">
        <v>54</v>
      </c>
      <c r="C14" s="970"/>
      <c r="D14" s="970"/>
      <c r="E14" s="970"/>
      <c r="F14" s="970"/>
      <c r="G14" s="970"/>
      <c r="H14" s="971"/>
      <c r="I14" s="452" t="s">
        <v>36</v>
      </c>
    </row>
    <row r="15" spans="1:9" s="184" customFormat="1" ht="20.100000000000001" customHeight="1">
      <c r="A15" s="226">
        <v>5</v>
      </c>
      <c r="B15" s="969" t="s">
        <v>55</v>
      </c>
      <c r="C15" s="970"/>
      <c r="D15" s="970"/>
      <c r="E15" s="970"/>
      <c r="F15" s="970"/>
      <c r="G15" s="970"/>
      <c r="H15" s="971"/>
      <c r="I15" s="411">
        <v>43101</v>
      </c>
    </row>
    <row r="16" spans="1:9" s="184" customFormat="1" ht="20.100000000000001" customHeight="1">
      <c r="A16" s="226">
        <v>6</v>
      </c>
      <c r="B16" s="969" t="s">
        <v>56</v>
      </c>
      <c r="C16" s="970"/>
      <c r="D16" s="970"/>
      <c r="E16" s="970"/>
      <c r="F16" s="970"/>
      <c r="G16" s="970"/>
      <c r="H16" s="971"/>
      <c r="I16" s="451">
        <v>954</v>
      </c>
    </row>
    <row r="17" spans="1:9" s="184" customFormat="1" ht="20.100000000000001" customHeight="1">
      <c r="A17" s="226">
        <v>7</v>
      </c>
      <c r="B17" s="969" t="s">
        <v>330</v>
      </c>
      <c r="C17" s="970"/>
      <c r="D17" s="970"/>
      <c r="E17" s="970"/>
      <c r="F17" s="970"/>
      <c r="G17" s="970"/>
      <c r="H17" s="971"/>
      <c r="I17" s="450">
        <v>21</v>
      </c>
    </row>
    <row r="18" spans="1:9" s="222" customFormat="1" ht="20.100000000000001" customHeight="1">
      <c r="A18" s="219"/>
      <c r="B18" s="220"/>
      <c r="C18" s="220"/>
      <c r="D18" s="220"/>
      <c r="E18" s="220"/>
      <c r="F18" s="220"/>
      <c r="G18" s="220"/>
      <c r="H18" s="221"/>
      <c r="I18" s="221"/>
    </row>
    <row r="19" spans="1:9" s="184" customFormat="1" ht="31.2" customHeight="1">
      <c r="A19" s="1035" t="s">
        <v>334</v>
      </c>
      <c r="B19" s="1035"/>
      <c r="C19" s="1035"/>
      <c r="D19" s="1035"/>
      <c r="E19" s="1035"/>
      <c r="F19" s="1035"/>
      <c r="G19" s="1035"/>
      <c r="H19" s="1035"/>
      <c r="I19" s="254" t="s">
        <v>397</v>
      </c>
    </row>
    <row r="20" spans="1:9" s="184" customFormat="1" ht="20.100000000000001" customHeight="1">
      <c r="A20" s="1067" t="s">
        <v>57</v>
      </c>
      <c r="B20" s="1068"/>
      <c r="C20" s="1068"/>
      <c r="D20" s="1068"/>
      <c r="E20" s="1068"/>
      <c r="F20" s="1068"/>
      <c r="G20" s="1068"/>
      <c r="H20" s="1068"/>
      <c r="I20" s="1071"/>
    </row>
    <row r="21" spans="1:9" s="184" customFormat="1" ht="20.100000000000001" customHeight="1">
      <c r="A21" s="250">
        <v>1</v>
      </c>
      <c r="B21" s="985" t="s">
        <v>58</v>
      </c>
      <c r="C21" s="985"/>
      <c r="D21" s="985"/>
      <c r="E21" s="985"/>
      <c r="F21" s="985"/>
      <c r="G21" s="985"/>
      <c r="H21" s="416" t="s">
        <v>59</v>
      </c>
      <c r="I21" s="418" t="s">
        <v>60</v>
      </c>
    </row>
    <row r="22" spans="1:9" s="184" customFormat="1" ht="19.2" customHeight="1">
      <c r="A22" s="226" t="s">
        <v>38</v>
      </c>
      <c r="B22" s="1011" t="s">
        <v>332</v>
      </c>
      <c r="C22" s="1011"/>
      <c r="D22" s="1011"/>
      <c r="E22" s="1011"/>
      <c r="F22" s="1011"/>
      <c r="G22" s="1011"/>
      <c r="H22" s="1012"/>
      <c r="I22" s="419">
        <f t="shared" ref="I22" si="0">I13</f>
        <v>1213.18</v>
      </c>
    </row>
    <row r="23" spans="1:9" s="184" customFormat="1" ht="20.399999999999999" customHeight="1">
      <c r="A23" s="226" t="s">
        <v>40</v>
      </c>
      <c r="B23" s="1028" t="s">
        <v>292</v>
      </c>
      <c r="C23" s="1028"/>
      <c r="D23" s="1028"/>
      <c r="E23" s="1028"/>
      <c r="F23" s="1028"/>
      <c r="G23" s="1028"/>
      <c r="H23" s="417">
        <v>0.3</v>
      </c>
      <c r="I23" s="419">
        <f>ROUND(I22*H23,2)</f>
        <v>363.95</v>
      </c>
    </row>
    <row r="24" spans="1:9" s="184" customFormat="1" ht="20.100000000000001" customHeight="1">
      <c r="A24" s="226" t="s">
        <v>44</v>
      </c>
      <c r="B24" s="988" t="s">
        <v>62</v>
      </c>
      <c r="C24" s="988"/>
      <c r="D24" s="988"/>
      <c r="E24" s="988"/>
      <c r="F24" s="988"/>
      <c r="G24" s="988"/>
      <c r="H24" s="989"/>
      <c r="I24" s="419"/>
    </row>
    <row r="25" spans="1:9" s="184" customFormat="1" ht="20.100000000000001" customHeight="1">
      <c r="A25" s="1001" t="s">
        <v>63</v>
      </c>
      <c r="B25" s="1001"/>
      <c r="C25" s="1001"/>
      <c r="D25" s="1001"/>
      <c r="E25" s="1001"/>
      <c r="F25" s="1001"/>
      <c r="G25" s="1001"/>
      <c r="H25" s="1007"/>
      <c r="I25" s="420">
        <f t="shared" ref="I25" si="1">TRUNC(SUM(I22:I24),2)</f>
        <v>1577.13</v>
      </c>
    </row>
    <row r="26" spans="1:9" s="184" customFormat="1" ht="20.100000000000001" customHeight="1">
      <c r="A26" s="1067" t="s">
        <v>291</v>
      </c>
      <c r="B26" s="1068"/>
      <c r="C26" s="1068"/>
      <c r="D26" s="1068"/>
      <c r="E26" s="1068"/>
      <c r="F26" s="1068"/>
      <c r="G26" s="1068"/>
      <c r="H26" s="1068"/>
      <c r="I26" s="1070"/>
    </row>
    <row r="27" spans="1:9" s="184" customFormat="1" ht="20.100000000000001" customHeight="1">
      <c r="A27" s="1067" t="s">
        <v>624</v>
      </c>
      <c r="B27" s="1068"/>
      <c r="C27" s="1068"/>
      <c r="D27" s="1068"/>
      <c r="E27" s="1068"/>
      <c r="F27" s="1068"/>
      <c r="G27" s="1068"/>
      <c r="H27" s="1068"/>
      <c r="I27" s="1069"/>
    </row>
    <row r="28" spans="1:9" s="184" customFormat="1" ht="25.2" customHeight="1">
      <c r="A28" s="250" t="s">
        <v>8</v>
      </c>
      <c r="B28" s="1025" t="s">
        <v>626</v>
      </c>
      <c r="C28" s="1025"/>
      <c r="D28" s="1025"/>
      <c r="E28" s="1025"/>
      <c r="F28" s="1025"/>
      <c r="G28" s="1025"/>
      <c r="H28" s="252" t="s">
        <v>59</v>
      </c>
      <c r="I28" s="404" t="s">
        <v>60</v>
      </c>
    </row>
    <row r="29" spans="1:9" s="184" customFormat="1" ht="21" customHeight="1">
      <c r="A29" s="226" t="s">
        <v>38</v>
      </c>
      <c r="B29" s="1011" t="s">
        <v>331</v>
      </c>
      <c r="C29" s="1011"/>
      <c r="D29" s="1011"/>
      <c r="E29" s="1011"/>
      <c r="F29" s="1011"/>
      <c r="G29" s="1011"/>
      <c r="H29" s="408">
        <v>8.3330000000000001E-2</v>
      </c>
      <c r="I29" s="406">
        <f>ROUND($I$25*H29,2)</f>
        <v>131.41999999999999</v>
      </c>
    </row>
    <row r="30" spans="1:9" s="184" customFormat="1" ht="18" customHeight="1">
      <c r="A30" s="226" t="s">
        <v>40</v>
      </c>
      <c r="B30" s="988" t="s">
        <v>625</v>
      </c>
      <c r="C30" s="988"/>
      <c r="D30" s="988"/>
      <c r="E30" s="988"/>
      <c r="F30" s="988"/>
      <c r="G30" s="988"/>
      <c r="H30" s="795">
        <f>(5/56/3)</f>
        <v>2.9761904761904764E-2</v>
      </c>
      <c r="I30" s="406">
        <f>ROUND(H30*I25,2)</f>
        <v>46.94</v>
      </c>
    </row>
    <row r="31" spans="1:9" ht="20.100000000000001" customHeight="1">
      <c r="A31" s="1001" t="s">
        <v>85</v>
      </c>
      <c r="B31" s="1001"/>
      <c r="C31" s="1001"/>
      <c r="D31" s="1001"/>
      <c r="E31" s="1001"/>
      <c r="F31" s="1001"/>
      <c r="G31" s="1001"/>
      <c r="H31" s="398">
        <f t="shared" ref="H31" si="2">H29+H30</f>
        <v>0.11309190476190477</v>
      </c>
      <c r="I31" s="407">
        <f t="shared" ref="I31" si="3">TRUNC(I29+I30,2)</f>
        <v>178.36</v>
      </c>
    </row>
    <row r="32" spans="1:9" ht="20.100000000000001" customHeight="1">
      <c r="A32" s="226" t="s">
        <v>42</v>
      </c>
      <c r="B32" s="1011" t="s">
        <v>290</v>
      </c>
      <c r="C32" s="1011"/>
      <c r="D32" s="1011"/>
      <c r="E32" s="1011"/>
      <c r="F32" s="1011"/>
      <c r="G32" s="1011"/>
      <c r="H32" s="409">
        <f>H31*H44</f>
        <v>3.8225063809523813E-2</v>
      </c>
      <c r="I32" s="407">
        <f>ROUND(I31*H44,2)</f>
        <v>60.29</v>
      </c>
    </row>
    <row r="33" spans="1:221" ht="20.100000000000001" customHeight="1">
      <c r="A33" s="1001" t="s">
        <v>84</v>
      </c>
      <c r="B33" s="1001"/>
      <c r="C33" s="1001"/>
      <c r="D33" s="1001"/>
      <c r="E33" s="1001"/>
      <c r="F33" s="1001"/>
      <c r="G33" s="1001"/>
      <c r="H33" s="410">
        <f>H31+H32</f>
        <v>0.15131696857142857</v>
      </c>
      <c r="I33" s="407">
        <f t="shared" ref="I33" si="4">TRUNC(I31+I32,2)</f>
        <v>238.65</v>
      </c>
    </row>
    <row r="34" spans="1:221" ht="25.2" customHeight="1">
      <c r="A34" s="1081" t="s">
        <v>382</v>
      </c>
      <c r="B34" s="1082"/>
      <c r="C34" s="1082"/>
      <c r="D34" s="1082"/>
      <c r="E34" s="1082"/>
      <c r="F34" s="1082"/>
      <c r="G34" s="1082"/>
      <c r="H34" s="1082"/>
      <c r="I34" s="1083"/>
    </row>
    <row r="35" spans="1:221" ht="19.95" customHeight="1">
      <c r="A35" s="251" t="s">
        <v>282</v>
      </c>
      <c r="B35" s="1060" t="s">
        <v>288</v>
      </c>
      <c r="C35" s="1060"/>
      <c r="D35" s="1060"/>
      <c r="E35" s="1060"/>
      <c r="F35" s="1060"/>
      <c r="G35" s="1060"/>
      <c r="H35" s="251" t="s">
        <v>59</v>
      </c>
      <c r="I35" s="399" t="s">
        <v>60</v>
      </c>
    </row>
    <row r="36" spans="1:221" ht="20.100000000000001" customHeight="1">
      <c r="A36" s="226" t="s">
        <v>38</v>
      </c>
      <c r="B36" s="988" t="s">
        <v>78</v>
      </c>
      <c r="C36" s="988"/>
      <c r="D36" s="988"/>
      <c r="E36" s="988"/>
      <c r="F36" s="988"/>
      <c r="G36" s="988"/>
      <c r="H36" s="396">
        <v>0.2</v>
      </c>
      <c r="I36" s="406">
        <f t="shared" ref="I36:I43" si="5">ROUND($I$25*H36,2)</f>
        <v>315.43</v>
      </c>
    </row>
    <row r="37" spans="1:221" ht="20.100000000000001" customHeight="1">
      <c r="A37" s="226" t="s">
        <v>40</v>
      </c>
      <c r="B37" s="988" t="s">
        <v>80</v>
      </c>
      <c r="C37" s="988"/>
      <c r="D37" s="988"/>
      <c r="E37" s="988"/>
      <c r="F37" s="988"/>
      <c r="G37" s="988"/>
      <c r="H37" s="396">
        <v>2.5000000000000001E-2</v>
      </c>
      <c r="I37" s="406">
        <f t="shared" si="5"/>
        <v>39.43</v>
      </c>
    </row>
    <row r="38" spans="1:221" ht="22.2" customHeight="1">
      <c r="A38" s="226" t="s">
        <v>42</v>
      </c>
      <c r="B38" s="988" t="s">
        <v>323</v>
      </c>
      <c r="C38" s="988"/>
      <c r="D38" s="988"/>
      <c r="E38" s="988"/>
      <c r="F38" s="988"/>
      <c r="G38" s="988"/>
      <c r="H38" s="397">
        <v>0</v>
      </c>
      <c r="I38" s="406">
        <f>ROUND($I$25*H38,2)</f>
        <v>0</v>
      </c>
    </row>
    <row r="39" spans="1:221" ht="21.75" customHeight="1">
      <c r="A39" s="226" t="s">
        <v>44</v>
      </c>
      <c r="B39" s="988" t="s">
        <v>287</v>
      </c>
      <c r="C39" s="988"/>
      <c r="D39" s="988"/>
      <c r="E39" s="988"/>
      <c r="F39" s="988"/>
      <c r="G39" s="988"/>
      <c r="H39" s="396">
        <v>1.4999999999999999E-2</v>
      </c>
      <c r="I39" s="406">
        <f t="shared" si="5"/>
        <v>23.66</v>
      </c>
    </row>
    <row r="40" spans="1:221" ht="20.100000000000001" customHeight="1">
      <c r="A40" s="226" t="s">
        <v>27</v>
      </c>
      <c r="B40" s="988" t="s">
        <v>286</v>
      </c>
      <c r="C40" s="988"/>
      <c r="D40" s="988"/>
      <c r="E40" s="988"/>
      <c r="F40" s="988"/>
      <c r="G40" s="988"/>
      <c r="H40" s="396">
        <v>0.01</v>
      </c>
      <c r="I40" s="406">
        <f t="shared" si="5"/>
        <v>15.77</v>
      </c>
    </row>
    <row r="41" spans="1:221" ht="20.100000000000001" customHeight="1">
      <c r="A41" s="226" t="s">
        <v>67</v>
      </c>
      <c r="B41" s="988" t="s">
        <v>83</v>
      </c>
      <c r="C41" s="988"/>
      <c r="D41" s="988"/>
      <c r="E41" s="988"/>
      <c r="F41" s="988"/>
      <c r="G41" s="988"/>
      <c r="H41" s="396">
        <v>6.0000000000000001E-3</v>
      </c>
      <c r="I41" s="406">
        <f t="shared" si="5"/>
        <v>9.4600000000000009</v>
      </c>
    </row>
    <row r="42" spans="1:221" ht="20.100000000000001" customHeight="1">
      <c r="A42" s="226" t="s">
        <v>82</v>
      </c>
      <c r="B42" s="988" t="s">
        <v>79</v>
      </c>
      <c r="C42" s="988"/>
      <c r="D42" s="988"/>
      <c r="E42" s="988"/>
      <c r="F42" s="988"/>
      <c r="G42" s="988"/>
      <c r="H42" s="396">
        <v>2E-3</v>
      </c>
      <c r="I42" s="406">
        <f t="shared" si="5"/>
        <v>3.15</v>
      </c>
    </row>
    <row r="43" spans="1:221" ht="20.100000000000001" customHeight="1">
      <c r="A43" s="226" t="s">
        <v>61</v>
      </c>
      <c r="B43" s="988" t="s">
        <v>81</v>
      </c>
      <c r="C43" s="988"/>
      <c r="D43" s="988"/>
      <c r="E43" s="988"/>
      <c r="F43" s="988"/>
      <c r="G43" s="988"/>
      <c r="H43" s="396">
        <v>0.08</v>
      </c>
      <c r="I43" s="406">
        <f t="shared" si="5"/>
        <v>126.17</v>
      </c>
    </row>
    <row r="44" spans="1:221" ht="20.100000000000001" customHeight="1">
      <c r="A44" s="1001" t="s">
        <v>84</v>
      </c>
      <c r="B44" s="1001"/>
      <c r="C44" s="1001"/>
      <c r="D44" s="1001"/>
      <c r="E44" s="1001"/>
      <c r="F44" s="1001"/>
      <c r="G44" s="1001"/>
      <c r="H44" s="398">
        <f t="shared" ref="H44:I44" si="6">SUM(H36:H43)</f>
        <v>0.33800000000000002</v>
      </c>
      <c r="I44" s="407">
        <f t="shared" si="6"/>
        <v>533.06999999999994</v>
      </c>
    </row>
    <row r="45" spans="1:221" s="187" customFormat="1" ht="20.100000000000001" customHeight="1">
      <c r="A45" s="1084" t="s">
        <v>381</v>
      </c>
      <c r="B45" s="1085"/>
      <c r="C45" s="1085"/>
      <c r="D45" s="1085"/>
      <c r="E45" s="1085"/>
      <c r="F45" s="1085"/>
      <c r="G45" s="1085"/>
      <c r="H45" s="1085"/>
      <c r="I45" s="10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  <c r="AY45" s="186"/>
      <c r="AZ45" s="186"/>
      <c r="BA45" s="186"/>
      <c r="BB45" s="186"/>
      <c r="BC45" s="186"/>
      <c r="BD45" s="186"/>
      <c r="BE45" s="186"/>
      <c r="BF45" s="186"/>
      <c r="BG45" s="186"/>
      <c r="BH45" s="186"/>
      <c r="BI45" s="186"/>
      <c r="BJ45" s="186"/>
      <c r="BK45" s="186"/>
      <c r="BL45" s="186"/>
      <c r="BM45" s="186"/>
      <c r="BN45" s="186"/>
      <c r="BO45" s="186"/>
      <c r="BP45" s="186"/>
      <c r="BQ45" s="186"/>
      <c r="BR45" s="186"/>
      <c r="BS45" s="186"/>
      <c r="BT45" s="186"/>
      <c r="BU45" s="186"/>
      <c r="BV45" s="186"/>
      <c r="BW45" s="186"/>
      <c r="BX45" s="186"/>
      <c r="BY45" s="186"/>
      <c r="BZ45" s="186"/>
      <c r="CA45" s="186"/>
      <c r="CB45" s="186"/>
      <c r="CC45" s="186"/>
      <c r="CD45" s="186"/>
      <c r="CE45" s="186"/>
      <c r="CF45" s="186"/>
      <c r="CG45" s="186"/>
      <c r="CH45" s="186"/>
      <c r="CI45" s="186"/>
      <c r="CJ45" s="186"/>
      <c r="CK45" s="186"/>
      <c r="CL45" s="186"/>
      <c r="CM45" s="186"/>
      <c r="CN45" s="186"/>
      <c r="CO45" s="186"/>
      <c r="CP45" s="186"/>
      <c r="CQ45" s="186"/>
      <c r="CR45" s="186"/>
      <c r="CS45" s="186"/>
      <c r="CT45" s="186"/>
      <c r="CU45" s="186"/>
      <c r="CV45" s="186"/>
      <c r="CW45" s="186"/>
      <c r="CX45" s="186"/>
      <c r="CY45" s="186"/>
      <c r="CZ45" s="186"/>
      <c r="DA45" s="186"/>
      <c r="DB45" s="186"/>
      <c r="DC45" s="186"/>
      <c r="DD45" s="186"/>
      <c r="DE45" s="186"/>
      <c r="DF45" s="186"/>
      <c r="DG45" s="186"/>
      <c r="DH45" s="186"/>
      <c r="DI45" s="186"/>
      <c r="DJ45" s="186"/>
      <c r="DK45" s="186"/>
      <c r="DL45" s="186"/>
      <c r="DM45" s="186"/>
      <c r="DN45" s="186"/>
      <c r="DO45" s="186"/>
      <c r="DP45" s="186"/>
      <c r="DQ45" s="186"/>
      <c r="DR45" s="186"/>
      <c r="DS45" s="186"/>
      <c r="DT45" s="186"/>
      <c r="DU45" s="186"/>
      <c r="DV45" s="186"/>
      <c r="DW45" s="186"/>
      <c r="DX45" s="186"/>
      <c r="DY45" s="186"/>
      <c r="DZ45" s="186"/>
      <c r="EA45" s="186"/>
      <c r="EB45" s="186"/>
      <c r="EC45" s="186"/>
      <c r="ED45" s="186"/>
      <c r="EE45" s="186"/>
      <c r="EF45" s="186"/>
      <c r="EG45" s="186"/>
      <c r="EH45" s="186"/>
      <c r="EI45" s="186"/>
      <c r="EJ45" s="186"/>
      <c r="EK45" s="186"/>
      <c r="EL45" s="186"/>
      <c r="EM45" s="186"/>
      <c r="EN45" s="186"/>
      <c r="EO45" s="186"/>
      <c r="EP45" s="186"/>
      <c r="EQ45" s="186"/>
      <c r="ER45" s="186"/>
      <c r="ES45" s="186"/>
      <c r="ET45" s="186"/>
      <c r="EU45" s="186"/>
      <c r="EV45" s="186"/>
      <c r="EW45" s="186"/>
      <c r="EX45" s="186"/>
      <c r="EY45" s="186"/>
      <c r="EZ45" s="186"/>
      <c r="FA45" s="186"/>
      <c r="FB45" s="186"/>
      <c r="FC45" s="186"/>
      <c r="FD45" s="186"/>
      <c r="FE45" s="186"/>
      <c r="FF45" s="186"/>
      <c r="FG45" s="186"/>
      <c r="FH45" s="186"/>
      <c r="FI45" s="186"/>
      <c r="FJ45" s="186"/>
      <c r="FK45" s="186"/>
      <c r="FL45" s="186"/>
      <c r="FM45" s="186"/>
      <c r="FN45" s="186"/>
      <c r="FO45" s="186"/>
      <c r="FP45" s="186"/>
      <c r="FQ45" s="186"/>
      <c r="FR45" s="186"/>
      <c r="FS45" s="186"/>
      <c r="FT45" s="186"/>
      <c r="FU45" s="186"/>
      <c r="FV45" s="186"/>
      <c r="FW45" s="186"/>
      <c r="FX45" s="186"/>
      <c r="FY45" s="186"/>
      <c r="FZ45" s="186"/>
      <c r="GA45" s="186"/>
      <c r="GB45" s="186"/>
      <c r="GC45" s="186"/>
      <c r="GD45" s="186"/>
      <c r="GE45" s="186"/>
      <c r="GF45" s="186"/>
      <c r="GG45" s="186"/>
      <c r="GH45" s="186"/>
      <c r="GI45" s="186"/>
      <c r="GJ45" s="186"/>
      <c r="GK45" s="186"/>
      <c r="GL45" s="186"/>
      <c r="GM45" s="186"/>
      <c r="GN45" s="186"/>
      <c r="GO45" s="186"/>
      <c r="GP45" s="186"/>
      <c r="GQ45" s="186"/>
      <c r="GR45" s="186"/>
      <c r="GS45" s="186"/>
      <c r="GT45" s="186"/>
      <c r="GU45" s="186"/>
      <c r="GV45" s="186"/>
      <c r="GW45" s="186"/>
      <c r="GX45" s="186"/>
      <c r="GY45" s="186"/>
      <c r="GZ45" s="186"/>
      <c r="HA45" s="186"/>
      <c r="HB45" s="186"/>
      <c r="HC45" s="186"/>
      <c r="HD45" s="186"/>
      <c r="HE45" s="186"/>
      <c r="HF45" s="186"/>
      <c r="HG45" s="186"/>
      <c r="HH45" s="186"/>
      <c r="HI45" s="186"/>
      <c r="HJ45" s="186"/>
      <c r="HK45" s="186"/>
      <c r="HL45" s="186"/>
      <c r="HM45" s="186"/>
    </row>
    <row r="46" spans="1:221" ht="20.100000000000001" customHeight="1">
      <c r="A46" s="250" t="s">
        <v>280</v>
      </c>
      <c r="B46" s="985" t="s">
        <v>64</v>
      </c>
      <c r="C46" s="985"/>
      <c r="D46" s="985"/>
      <c r="E46" s="985"/>
      <c r="F46" s="985"/>
      <c r="G46" s="985"/>
      <c r="H46" s="985"/>
      <c r="I46" s="404" t="s">
        <v>60</v>
      </c>
    </row>
    <row r="47" spans="1:221" s="227" customFormat="1" ht="25.5" customHeight="1">
      <c r="A47" s="226" t="s">
        <v>38</v>
      </c>
      <c r="B47" s="1075" t="s">
        <v>460</v>
      </c>
      <c r="C47" s="1076"/>
      <c r="D47" s="1076"/>
      <c r="E47" s="1077"/>
      <c r="F47" s="390">
        <v>21</v>
      </c>
      <c r="G47" s="390">
        <v>2</v>
      </c>
      <c r="H47" s="402">
        <v>3.8</v>
      </c>
      <c r="I47" s="406">
        <f>ROUND((G47*H47*F47)-(6%*I22),2)</f>
        <v>86.81</v>
      </c>
      <c r="J47" s="1015"/>
      <c r="K47" s="1015"/>
      <c r="L47" s="1015"/>
      <c r="M47" s="1015"/>
      <c r="N47" s="1015"/>
      <c r="U47" s="1015"/>
      <c r="V47" s="1015"/>
      <c r="W47" s="1015"/>
      <c r="X47" s="1015"/>
      <c r="Y47" s="1015"/>
      <c r="Z47" s="1015"/>
      <c r="AA47" s="1015"/>
      <c r="AB47" s="1015"/>
      <c r="AC47" s="1015"/>
      <c r="AD47" s="1015"/>
      <c r="AE47" s="1015"/>
      <c r="AF47" s="1015"/>
      <c r="AG47" s="1015"/>
      <c r="AH47" s="1015"/>
      <c r="AI47" s="1015"/>
      <c r="AJ47" s="1015"/>
      <c r="AK47" s="1015"/>
      <c r="AL47" s="1015"/>
      <c r="AM47" s="1015"/>
      <c r="AN47" s="1015"/>
      <c r="AO47" s="1015"/>
      <c r="AP47" s="1015"/>
      <c r="AQ47" s="1015"/>
      <c r="AR47" s="1015"/>
      <c r="AS47" s="1015"/>
      <c r="AT47" s="1015"/>
      <c r="AU47" s="1015"/>
      <c r="AV47" s="1015"/>
      <c r="AW47" s="1015"/>
      <c r="AX47" s="1015"/>
      <c r="AY47" s="1015"/>
      <c r="AZ47" s="1015"/>
      <c r="BA47" s="1015"/>
      <c r="BB47" s="1015"/>
      <c r="BC47" s="1015"/>
      <c r="BD47" s="1015"/>
      <c r="BE47" s="1015"/>
      <c r="BF47" s="1015"/>
      <c r="BG47" s="1015"/>
      <c r="BH47" s="1015"/>
      <c r="BI47" s="1015"/>
      <c r="BJ47" s="1015"/>
      <c r="BK47" s="1015"/>
      <c r="BL47" s="1015"/>
      <c r="BM47" s="1015"/>
      <c r="BN47" s="1015"/>
      <c r="BO47" s="1015"/>
      <c r="BP47" s="1015"/>
      <c r="BQ47" s="1015"/>
      <c r="BR47" s="1015"/>
      <c r="BS47" s="1015"/>
      <c r="BT47" s="1015"/>
      <c r="BU47" s="1015"/>
      <c r="BV47" s="1015"/>
      <c r="BW47" s="1015"/>
      <c r="BX47" s="1015"/>
      <c r="BY47" s="1015"/>
      <c r="BZ47" s="1015"/>
      <c r="CA47" s="1015"/>
      <c r="CB47" s="1015"/>
      <c r="CC47" s="1015"/>
      <c r="CD47" s="1015"/>
      <c r="CE47" s="1015"/>
      <c r="CF47" s="1015"/>
      <c r="CG47" s="1015"/>
      <c r="CH47" s="1015"/>
      <c r="CI47" s="1015"/>
      <c r="CJ47" s="1015"/>
      <c r="CK47" s="1015"/>
      <c r="CL47" s="1015"/>
      <c r="CM47" s="1015"/>
      <c r="CN47" s="1015"/>
      <c r="CO47" s="1015"/>
      <c r="CP47" s="1015"/>
      <c r="CQ47" s="1015"/>
      <c r="CR47" s="1015"/>
      <c r="CS47" s="1015"/>
      <c r="CT47" s="1015"/>
      <c r="CU47" s="1015"/>
      <c r="CV47" s="1015"/>
      <c r="CW47" s="1015"/>
      <c r="CX47" s="1015"/>
      <c r="CY47" s="1015"/>
      <c r="CZ47" s="1015"/>
      <c r="DA47" s="1015"/>
      <c r="DB47" s="1015"/>
      <c r="DC47" s="1015"/>
      <c r="DD47" s="1015"/>
      <c r="DE47" s="1015"/>
      <c r="DF47" s="1015"/>
      <c r="DG47" s="1015"/>
      <c r="DH47" s="1015"/>
      <c r="DI47" s="1015"/>
      <c r="DJ47" s="1015"/>
      <c r="DK47" s="1015"/>
      <c r="DL47" s="1015"/>
      <c r="DM47" s="1015"/>
      <c r="DN47" s="1015"/>
      <c r="DO47" s="1015"/>
      <c r="DP47" s="1015"/>
      <c r="DQ47" s="1015"/>
      <c r="DR47" s="1015"/>
      <c r="DS47" s="1015"/>
      <c r="DT47" s="1015"/>
      <c r="DU47" s="1015"/>
      <c r="DV47" s="1015"/>
      <c r="DW47" s="1015"/>
      <c r="DX47" s="1015"/>
      <c r="DY47" s="1015"/>
      <c r="DZ47" s="1015"/>
      <c r="EA47" s="1015"/>
      <c r="EB47" s="1015"/>
      <c r="EC47" s="1015"/>
      <c r="ED47" s="1015"/>
      <c r="EE47" s="1015"/>
      <c r="EF47" s="1015"/>
      <c r="EG47" s="1015"/>
      <c r="EH47" s="1015"/>
      <c r="EI47" s="1015"/>
      <c r="EJ47" s="1015"/>
      <c r="EK47" s="1015"/>
      <c r="EL47" s="1015"/>
      <c r="EM47" s="1015"/>
      <c r="EN47" s="1015"/>
      <c r="EO47" s="1015"/>
      <c r="EP47" s="1015"/>
      <c r="EQ47" s="1015"/>
      <c r="ER47" s="1015"/>
      <c r="ES47" s="1015"/>
      <c r="ET47" s="1015"/>
      <c r="EU47" s="1015"/>
      <c r="EV47" s="1015"/>
      <c r="EW47" s="1015"/>
      <c r="EX47" s="1015"/>
      <c r="EY47" s="1015"/>
      <c r="EZ47" s="1015"/>
      <c r="FA47" s="1015"/>
      <c r="FB47" s="1015"/>
      <c r="FC47" s="1015"/>
      <c r="FD47" s="1015"/>
      <c r="FE47" s="1015"/>
      <c r="FF47" s="1015"/>
      <c r="FG47" s="1015"/>
      <c r="FH47" s="1015"/>
      <c r="FI47" s="1015"/>
      <c r="FJ47" s="1015"/>
      <c r="FK47" s="1015"/>
      <c r="FL47" s="1015"/>
      <c r="FM47" s="1015"/>
      <c r="FN47" s="1015"/>
      <c r="FO47" s="1015"/>
      <c r="FP47" s="1015"/>
      <c r="FQ47" s="1015"/>
      <c r="FR47" s="1015"/>
      <c r="FS47" s="1015"/>
      <c r="FT47" s="1015"/>
      <c r="FU47" s="1015"/>
      <c r="FV47" s="1015"/>
      <c r="FW47" s="1015"/>
      <c r="FX47" s="1015"/>
      <c r="FY47" s="1015"/>
      <c r="FZ47" s="1015"/>
      <c r="GA47" s="1015"/>
      <c r="GB47" s="1015"/>
      <c r="GC47" s="1015"/>
      <c r="GD47" s="1015"/>
      <c r="GE47" s="1015"/>
      <c r="GF47" s="1015"/>
      <c r="GG47" s="1015"/>
      <c r="GH47" s="1015"/>
      <c r="GI47" s="1015"/>
      <c r="GJ47" s="1015"/>
      <c r="GK47" s="1015"/>
      <c r="GL47" s="1015"/>
      <c r="GM47" s="1015"/>
      <c r="GN47" s="1015"/>
      <c r="GO47" s="1015"/>
      <c r="GP47" s="1015"/>
      <c r="GQ47" s="1015"/>
      <c r="GR47" s="1015"/>
      <c r="GS47" s="1015"/>
      <c r="GT47" s="1015"/>
      <c r="GU47" s="1015"/>
      <c r="GV47" s="1015"/>
      <c r="GW47" s="1015"/>
      <c r="GX47" s="1015"/>
      <c r="GY47" s="1015"/>
      <c r="GZ47" s="1015"/>
      <c r="HA47" s="1015"/>
      <c r="HB47" s="1015"/>
      <c r="HC47" s="1015"/>
      <c r="HD47" s="1015"/>
    </row>
    <row r="48" spans="1:221" s="184" customFormat="1" ht="23.25" customHeight="1">
      <c r="A48" s="226" t="s">
        <v>40</v>
      </c>
      <c r="B48" s="1016" t="s">
        <v>459</v>
      </c>
      <c r="C48" s="1017"/>
      <c r="D48" s="1017"/>
      <c r="E48" s="1017"/>
      <c r="F48" s="1018"/>
      <c r="G48" s="391">
        <v>360</v>
      </c>
      <c r="H48" s="402">
        <f>G48*0.99%</f>
        <v>3.5639999999999996</v>
      </c>
      <c r="I48" s="406">
        <f>ROUND(G48-H48,2)</f>
        <v>356.44</v>
      </c>
    </row>
    <row r="49" spans="1:9" s="184" customFormat="1" ht="20.399999999999999" customHeight="1">
      <c r="A49" s="226" t="s">
        <v>42</v>
      </c>
      <c r="B49" s="988" t="s">
        <v>65</v>
      </c>
      <c r="C49" s="988"/>
      <c r="D49" s="988"/>
      <c r="E49" s="988"/>
      <c r="F49" s="988"/>
      <c r="G49" s="988"/>
      <c r="H49" s="989"/>
      <c r="I49" s="406"/>
    </row>
    <row r="50" spans="1:9" s="184" customFormat="1" ht="21" customHeight="1">
      <c r="A50" s="226" t="s">
        <v>44</v>
      </c>
      <c r="B50" s="988" t="s">
        <v>66</v>
      </c>
      <c r="C50" s="988"/>
      <c r="D50" s="988"/>
      <c r="E50" s="988"/>
      <c r="F50" s="988"/>
      <c r="G50" s="988"/>
      <c r="H50" s="989"/>
      <c r="I50" s="406"/>
    </row>
    <row r="51" spans="1:9" s="184" customFormat="1" ht="20.100000000000001" customHeight="1">
      <c r="A51" s="226" t="s">
        <v>27</v>
      </c>
      <c r="B51" s="988" t="s">
        <v>324</v>
      </c>
      <c r="C51" s="988"/>
      <c r="D51" s="988"/>
      <c r="E51" s="988"/>
      <c r="F51" s="988"/>
      <c r="G51" s="988"/>
      <c r="H51" s="989"/>
      <c r="I51" s="406"/>
    </row>
    <row r="52" spans="1:9" s="184" customFormat="1" ht="20.100000000000001" customHeight="1">
      <c r="A52" s="226" t="s">
        <v>67</v>
      </c>
      <c r="B52" s="988" t="s">
        <v>62</v>
      </c>
      <c r="C52" s="988"/>
      <c r="D52" s="988"/>
      <c r="E52" s="988"/>
      <c r="F52" s="988"/>
      <c r="G52" s="988"/>
      <c r="H52" s="989"/>
      <c r="I52" s="406"/>
    </row>
    <row r="53" spans="1:9" s="191" customFormat="1" ht="20.100000000000001" customHeight="1">
      <c r="A53" s="190"/>
      <c r="B53" s="1001" t="s">
        <v>68</v>
      </c>
      <c r="C53" s="1001"/>
      <c r="D53" s="1001"/>
      <c r="E53" s="1001"/>
      <c r="F53" s="1001"/>
      <c r="G53" s="1001"/>
      <c r="H53" s="1007"/>
      <c r="I53" s="407">
        <f t="shared" ref="I53" si="7">TRUNC(SUM(I47:I52),2)</f>
        <v>443.25</v>
      </c>
    </row>
    <row r="54" spans="1:9" s="184" customFormat="1" ht="20.100000000000001" hidden="1" customHeight="1">
      <c r="A54" s="1072"/>
      <c r="B54" s="1072"/>
      <c r="C54" s="1072"/>
      <c r="D54" s="1072"/>
      <c r="E54" s="1072"/>
      <c r="F54" s="1072"/>
      <c r="G54" s="1072"/>
      <c r="H54" s="1072"/>
      <c r="I54" s="1073"/>
    </row>
    <row r="55" spans="1:9" s="184" customFormat="1" ht="30" hidden="1" customHeight="1">
      <c r="A55" s="1050" t="s">
        <v>69</v>
      </c>
      <c r="B55" s="1050"/>
      <c r="C55" s="1050"/>
      <c r="D55" s="1050"/>
      <c r="E55" s="1050"/>
      <c r="F55" s="1050"/>
      <c r="G55" s="1050"/>
      <c r="H55" s="1050"/>
      <c r="I55" s="1050"/>
    </row>
    <row r="56" spans="1:9" s="184" customFormat="1" ht="20.100000000000001" customHeight="1">
      <c r="A56" s="1087" t="s">
        <v>285</v>
      </c>
      <c r="B56" s="1088"/>
      <c r="C56" s="1088"/>
      <c r="D56" s="1088"/>
      <c r="E56" s="1088"/>
      <c r="F56" s="1088"/>
      <c r="G56" s="1088"/>
      <c r="H56" s="1088"/>
      <c r="I56" s="1089"/>
    </row>
    <row r="57" spans="1:9" s="184" customFormat="1" ht="20.100000000000001" customHeight="1">
      <c r="A57" s="253">
        <v>2</v>
      </c>
      <c r="B57" s="1019" t="s">
        <v>284</v>
      </c>
      <c r="C57" s="1019"/>
      <c r="D57" s="1019"/>
      <c r="E57" s="1019"/>
      <c r="F57" s="1019"/>
      <c r="G57" s="1019"/>
      <c r="H57" s="253" t="s">
        <v>59</v>
      </c>
      <c r="I57" s="441" t="s">
        <v>60</v>
      </c>
    </row>
    <row r="58" spans="1:9" s="184" customFormat="1" ht="20.100000000000001" customHeight="1">
      <c r="A58" s="217" t="s">
        <v>8</v>
      </c>
      <c r="B58" s="1020" t="s">
        <v>283</v>
      </c>
      <c r="C58" s="1020"/>
      <c r="D58" s="1020"/>
      <c r="E58" s="1020"/>
      <c r="F58" s="1020"/>
      <c r="G58" s="1020"/>
      <c r="H58" s="434">
        <f>H31</f>
        <v>0.11309190476190477</v>
      </c>
      <c r="I58" s="442">
        <f>I33</f>
        <v>238.65</v>
      </c>
    </row>
    <row r="59" spans="1:9" s="184" customFormat="1" ht="20.100000000000001" customHeight="1">
      <c r="A59" s="217" t="s">
        <v>282</v>
      </c>
      <c r="B59" s="1020" t="s">
        <v>281</v>
      </c>
      <c r="C59" s="1020"/>
      <c r="D59" s="1020"/>
      <c r="E59" s="1020"/>
      <c r="F59" s="1020"/>
      <c r="G59" s="1020"/>
      <c r="H59" s="434">
        <f>H44</f>
        <v>0.33800000000000002</v>
      </c>
      <c r="I59" s="442">
        <f>I44</f>
        <v>533.06999999999994</v>
      </c>
    </row>
    <row r="60" spans="1:9" s="184" customFormat="1" ht="20.100000000000001" customHeight="1">
      <c r="A60" s="217" t="s">
        <v>280</v>
      </c>
      <c r="B60" s="1020" t="s">
        <v>279</v>
      </c>
      <c r="C60" s="1020"/>
      <c r="D60" s="1020"/>
      <c r="E60" s="1020"/>
      <c r="F60" s="1020"/>
      <c r="G60" s="1020"/>
      <c r="H60" s="440" t="s">
        <v>89</v>
      </c>
      <c r="I60" s="442">
        <f>I53</f>
        <v>443.25</v>
      </c>
    </row>
    <row r="61" spans="1:9" s="184" customFormat="1" ht="20.100000000000001" customHeight="1">
      <c r="A61" s="1021" t="s">
        <v>84</v>
      </c>
      <c r="B61" s="1021"/>
      <c r="C61" s="1021"/>
      <c r="D61" s="1021"/>
      <c r="E61" s="1021"/>
      <c r="F61" s="1021"/>
      <c r="G61" s="1021"/>
      <c r="H61" s="434">
        <f>H58+H59</f>
        <v>0.45109190476190481</v>
      </c>
      <c r="I61" s="442">
        <f t="shared" ref="I61" si="8">SUM(I58:I60)</f>
        <v>1214.9699999999998</v>
      </c>
    </row>
    <row r="62" spans="1:9" s="184" customFormat="1" ht="21" customHeight="1">
      <c r="A62" s="1067" t="s">
        <v>278</v>
      </c>
      <c r="B62" s="1068"/>
      <c r="C62" s="1068"/>
      <c r="D62" s="1068"/>
      <c r="E62" s="1068"/>
      <c r="F62" s="1068"/>
      <c r="G62" s="1068"/>
      <c r="H62" s="1068"/>
      <c r="I62" s="1070"/>
    </row>
    <row r="63" spans="1:9" s="184" customFormat="1" ht="20.100000000000001" customHeight="1">
      <c r="A63" s="250">
        <v>3</v>
      </c>
      <c r="B63" s="985" t="s">
        <v>86</v>
      </c>
      <c r="C63" s="985"/>
      <c r="D63" s="985"/>
      <c r="E63" s="985"/>
      <c r="F63" s="985"/>
      <c r="G63" s="985"/>
      <c r="H63" s="985"/>
      <c r="I63" s="404" t="s">
        <v>60</v>
      </c>
    </row>
    <row r="64" spans="1:9" s="184" customFormat="1" ht="20.100000000000001" customHeight="1">
      <c r="A64" s="226" t="s">
        <v>38</v>
      </c>
      <c r="B64" s="988" t="s">
        <v>661</v>
      </c>
      <c r="C64" s="988"/>
      <c r="D64" s="988"/>
      <c r="E64" s="988"/>
      <c r="F64" s="988"/>
      <c r="G64" s="988"/>
      <c r="H64" s="409">
        <v>0</v>
      </c>
      <c r="I64" s="406">
        <f>ROUND($I$25*H64,2)</f>
        <v>0</v>
      </c>
    </row>
    <row r="65" spans="1:9" s="184" customFormat="1" ht="20.100000000000001" customHeight="1">
      <c r="A65" s="226" t="s">
        <v>40</v>
      </c>
      <c r="B65" s="988" t="s">
        <v>87</v>
      </c>
      <c r="C65" s="988"/>
      <c r="D65" s="988"/>
      <c r="E65" s="988"/>
      <c r="F65" s="988"/>
      <c r="G65" s="988"/>
      <c r="H65" s="434">
        <f>H43*H64</f>
        <v>0</v>
      </c>
      <c r="I65" s="406">
        <f t="shared" ref="I65" si="9">ROUND($H$43*I64,2)</f>
        <v>0</v>
      </c>
    </row>
    <row r="66" spans="1:9" s="184" customFormat="1" ht="21.6" customHeight="1">
      <c r="A66" s="226" t="s">
        <v>42</v>
      </c>
      <c r="B66" s="1011" t="s">
        <v>374</v>
      </c>
      <c r="C66" s="1011"/>
      <c r="D66" s="1011"/>
      <c r="E66" s="1011"/>
      <c r="F66" s="1011"/>
      <c r="G66" s="1011"/>
      <c r="H66" s="435">
        <f>((8%*50%)*90%)*((1+5/56+5/56+5/168))</f>
        <v>4.3499999999999997E-2</v>
      </c>
      <c r="I66" s="406">
        <f>ROUND($I$25*H66,2)</f>
        <v>68.61</v>
      </c>
    </row>
    <row r="67" spans="1:9" s="184" customFormat="1" ht="21.6" customHeight="1">
      <c r="A67" s="226" t="s">
        <v>44</v>
      </c>
      <c r="B67" s="1011" t="s">
        <v>333</v>
      </c>
      <c r="C67" s="1011"/>
      <c r="D67" s="1011"/>
      <c r="E67" s="1011"/>
      <c r="F67" s="1011"/>
      <c r="G67" s="1011"/>
      <c r="H67" s="435">
        <v>1.9400000000000001E-2</v>
      </c>
      <c r="I67" s="406">
        <f>ROUND($I$25*H67,2)</f>
        <v>30.6</v>
      </c>
    </row>
    <row r="68" spans="1:9" s="184" customFormat="1" ht="19.2" customHeight="1">
      <c r="A68" s="226" t="s">
        <v>27</v>
      </c>
      <c r="B68" s="1011" t="s">
        <v>277</v>
      </c>
      <c r="C68" s="1011"/>
      <c r="D68" s="1011"/>
      <c r="E68" s="1011"/>
      <c r="F68" s="1011"/>
      <c r="G68" s="1011"/>
      <c r="H68" s="434">
        <f>H44*H67</f>
        <v>6.5572000000000009E-3</v>
      </c>
      <c r="I68" s="406">
        <f>ROUND($H$44*I67,2)</f>
        <v>10.34</v>
      </c>
    </row>
    <row r="69" spans="1:9" s="184" customFormat="1" ht="28.2" customHeight="1">
      <c r="A69" s="226" t="s">
        <v>67</v>
      </c>
      <c r="B69" s="1011" t="s">
        <v>371</v>
      </c>
      <c r="C69" s="1011"/>
      <c r="D69" s="1011"/>
      <c r="E69" s="1011"/>
      <c r="F69" s="1011"/>
      <c r="G69" s="1011"/>
      <c r="H69" s="435">
        <f>((1*50%*8%*H67)+0.572%)</f>
        <v>6.4959999999999992E-3</v>
      </c>
      <c r="I69" s="406">
        <f>ROUND($I$25*H69,2)</f>
        <v>10.25</v>
      </c>
    </row>
    <row r="70" spans="1:9" s="184" customFormat="1" ht="22.2" customHeight="1">
      <c r="A70" s="1001" t="s">
        <v>84</v>
      </c>
      <c r="B70" s="1001"/>
      <c r="C70" s="1001"/>
      <c r="D70" s="1001"/>
      <c r="E70" s="1001"/>
      <c r="F70" s="1001"/>
      <c r="G70" s="1001"/>
      <c r="H70" s="398">
        <f t="shared" ref="H70:I70" si="10">SUM(H64:H69)</f>
        <v>7.5953199999999998E-2</v>
      </c>
      <c r="I70" s="407">
        <f t="shared" si="10"/>
        <v>119.80000000000001</v>
      </c>
    </row>
    <row r="71" spans="1:9" s="184" customFormat="1" ht="20.25" customHeight="1">
      <c r="A71" s="1067" t="s">
        <v>271</v>
      </c>
      <c r="B71" s="1068"/>
      <c r="C71" s="1068"/>
      <c r="D71" s="1068"/>
      <c r="E71" s="1068"/>
      <c r="F71" s="1068"/>
      <c r="G71" s="1068"/>
      <c r="H71" s="1068"/>
      <c r="I71" s="1070"/>
    </row>
    <row r="72" spans="1:9" s="184" customFormat="1" ht="20.100000000000001" customHeight="1">
      <c r="A72" s="250" t="s">
        <v>77</v>
      </c>
      <c r="B72" s="985" t="s">
        <v>627</v>
      </c>
      <c r="C72" s="985"/>
      <c r="D72" s="985"/>
      <c r="E72" s="985"/>
      <c r="F72" s="985"/>
      <c r="G72" s="985"/>
      <c r="H72" s="985"/>
      <c r="I72" s="404" t="s">
        <v>60</v>
      </c>
    </row>
    <row r="73" spans="1:9" s="184" customFormat="1" ht="20.100000000000001" customHeight="1">
      <c r="A73" s="226" t="s">
        <v>38</v>
      </c>
      <c r="B73" s="1012" t="s">
        <v>660</v>
      </c>
      <c r="C73" s="1013"/>
      <c r="D73" s="1013"/>
      <c r="E73" s="1013"/>
      <c r="F73" s="1013"/>
      <c r="G73" s="1014"/>
      <c r="H73" s="796">
        <v>9.1200000000000003E-2</v>
      </c>
      <c r="I73" s="406">
        <f t="shared" ref="I73:I79" si="11">ROUND($I$25*H73,2)</f>
        <v>143.83000000000001</v>
      </c>
    </row>
    <row r="74" spans="1:9" s="184" customFormat="1" ht="20.100000000000001" customHeight="1">
      <c r="A74" s="226" t="s">
        <v>40</v>
      </c>
      <c r="B74" s="988" t="s">
        <v>628</v>
      </c>
      <c r="C74" s="988"/>
      <c r="D74" s="988"/>
      <c r="E74" s="988"/>
      <c r="F74" s="988"/>
      <c r="G74" s="988"/>
      <c r="H74" s="433">
        <v>0</v>
      </c>
      <c r="I74" s="406">
        <f t="shared" si="11"/>
        <v>0</v>
      </c>
    </row>
    <row r="75" spans="1:9" s="184" customFormat="1" ht="20.100000000000001" customHeight="1">
      <c r="A75" s="226" t="s">
        <v>42</v>
      </c>
      <c r="B75" s="988" t="s">
        <v>629</v>
      </c>
      <c r="C75" s="988"/>
      <c r="D75" s="988"/>
      <c r="E75" s="988"/>
      <c r="F75" s="988"/>
      <c r="G75" s="988"/>
      <c r="H75" s="433">
        <v>0</v>
      </c>
      <c r="I75" s="406">
        <f t="shared" si="11"/>
        <v>0</v>
      </c>
    </row>
    <row r="76" spans="1:9" s="184" customFormat="1" ht="20.100000000000001" customHeight="1">
      <c r="A76" s="226" t="s">
        <v>44</v>
      </c>
      <c r="B76" s="988" t="s">
        <v>630</v>
      </c>
      <c r="C76" s="988"/>
      <c r="D76" s="988"/>
      <c r="E76" s="988"/>
      <c r="F76" s="988"/>
      <c r="G76" s="988"/>
      <c r="H76" s="433">
        <v>0</v>
      </c>
      <c r="I76" s="406">
        <f t="shared" si="11"/>
        <v>0</v>
      </c>
    </row>
    <row r="77" spans="1:9" s="184" customFormat="1" ht="20.100000000000001" customHeight="1">
      <c r="A77" s="226" t="s">
        <v>27</v>
      </c>
      <c r="B77" s="988" t="s">
        <v>631</v>
      </c>
      <c r="C77" s="988"/>
      <c r="D77" s="988"/>
      <c r="E77" s="988"/>
      <c r="F77" s="988"/>
      <c r="G77" s="988"/>
      <c r="H77" s="433">
        <v>0</v>
      </c>
      <c r="I77" s="406">
        <f t="shared" si="11"/>
        <v>0</v>
      </c>
    </row>
    <row r="78" spans="1:9" s="184" customFormat="1" ht="22.5" customHeight="1">
      <c r="A78" s="226" t="s">
        <v>67</v>
      </c>
      <c r="B78" s="988" t="s">
        <v>632</v>
      </c>
      <c r="C78" s="988"/>
      <c r="D78" s="988"/>
      <c r="E78" s="988"/>
      <c r="F78" s="988"/>
      <c r="G78" s="988"/>
      <c r="H78" s="433">
        <v>0</v>
      </c>
      <c r="I78" s="406">
        <f t="shared" si="11"/>
        <v>0</v>
      </c>
    </row>
    <row r="79" spans="1:9" s="184" customFormat="1" ht="20.100000000000001" customHeight="1">
      <c r="A79" s="226" t="s">
        <v>82</v>
      </c>
      <c r="B79" s="988" t="s">
        <v>633</v>
      </c>
      <c r="C79" s="988"/>
      <c r="D79" s="988"/>
      <c r="E79" s="988"/>
      <c r="F79" s="988"/>
      <c r="G79" s="988"/>
      <c r="H79" s="433">
        <v>0</v>
      </c>
      <c r="I79" s="406">
        <f t="shared" si="11"/>
        <v>0</v>
      </c>
    </row>
    <row r="80" spans="1:9" s="184" customFormat="1" ht="20.100000000000001" customHeight="1">
      <c r="A80" s="1001" t="s">
        <v>85</v>
      </c>
      <c r="B80" s="1001"/>
      <c r="C80" s="1001"/>
      <c r="D80" s="1001"/>
      <c r="E80" s="1001"/>
      <c r="F80" s="1001"/>
      <c r="G80" s="1001"/>
      <c r="H80" s="398">
        <f t="shared" ref="H80" si="12">SUM(H73:H79)</f>
        <v>9.1200000000000003E-2</v>
      </c>
      <c r="I80" s="407">
        <f t="shared" ref="I80" si="13">TRUNC(SUM(I73:I79),2)</f>
        <v>143.83000000000001</v>
      </c>
    </row>
    <row r="81" spans="1:10" s="184" customFormat="1" ht="20.100000000000001" customHeight="1">
      <c r="A81" s="226" t="s">
        <v>61</v>
      </c>
      <c r="B81" s="988" t="s">
        <v>276</v>
      </c>
      <c r="C81" s="988"/>
      <c r="D81" s="988"/>
      <c r="E81" s="988"/>
      <c r="F81" s="988"/>
      <c r="G81" s="988"/>
      <c r="H81" s="409">
        <f>H44*H80</f>
        <v>3.0825600000000002E-2</v>
      </c>
      <c r="I81" s="406">
        <f>ROUND(H44*I80,2)</f>
        <v>48.61</v>
      </c>
    </row>
    <row r="82" spans="1:10" s="184" customFormat="1" ht="20.100000000000001" customHeight="1">
      <c r="A82" s="1001" t="s">
        <v>84</v>
      </c>
      <c r="B82" s="1001"/>
      <c r="C82" s="1001"/>
      <c r="D82" s="1001"/>
      <c r="E82" s="1001"/>
      <c r="F82" s="1001"/>
      <c r="G82" s="1001"/>
      <c r="H82" s="398">
        <f>H80+H81</f>
        <v>0.12202560000000001</v>
      </c>
      <c r="I82" s="407">
        <f t="shared" ref="I82" si="14">TRUNC(SUM(I80:I81),2)</f>
        <v>192.44</v>
      </c>
    </row>
    <row r="83" spans="1:10" s="184" customFormat="1" ht="20.100000000000001" customHeight="1">
      <c r="A83" s="1067" t="s">
        <v>275</v>
      </c>
      <c r="B83" s="1068"/>
      <c r="C83" s="1068"/>
      <c r="D83" s="1068"/>
      <c r="E83" s="1068"/>
      <c r="F83" s="1068"/>
      <c r="G83" s="1068"/>
      <c r="H83" s="1068"/>
      <c r="I83" s="1070"/>
    </row>
    <row r="84" spans="1:10" s="184" customFormat="1" ht="18" customHeight="1">
      <c r="A84" s="250">
        <v>5</v>
      </c>
      <c r="B84" s="985" t="s">
        <v>70</v>
      </c>
      <c r="C84" s="985"/>
      <c r="D84" s="985"/>
      <c r="E84" s="985"/>
      <c r="F84" s="985"/>
      <c r="G84" s="985"/>
      <c r="H84" s="985"/>
      <c r="I84" s="404" t="s">
        <v>60</v>
      </c>
    </row>
    <row r="85" spans="1:10" s="184" customFormat="1" ht="20.100000000000001" customHeight="1">
      <c r="A85" s="226" t="s">
        <v>38</v>
      </c>
      <c r="B85" s="988" t="s">
        <v>71</v>
      </c>
      <c r="C85" s="988"/>
      <c r="D85" s="988"/>
      <c r="E85" s="988"/>
      <c r="F85" s="988"/>
      <c r="G85" s="988"/>
      <c r="H85" s="989"/>
      <c r="I85" s="406">
        <f>Uniforme!I27</f>
        <v>0</v>
      </c>
    </row>
    <row r="86" spans="1:10" s="184" customFormat="1" ht="20.100000000000001" customHeight="1">
      <c r="A86" s="226" t="s">
        <v>40</v>
      </c>
      <c r="B86" s="988" t="s">
        <v>72</v>
      </c>
      <c r="C86" s="988"/>
      <c r="D86" s="988"/>
      <c r="E86" s="988"/>
      <c r="F86" s="988"/>
      <c r="G86" s="988"/>
      <c r="H86" s="989"/>
      <c r="I86" s="406">
        <f>'Mat. Lavador'!J20</f>
        <v>318.53166666666669</v>
      </c>
      <c r="J86"/>
    </row>
    <row r="87" spans="1:10" s="184" customFormat="1" ht="20.100000000000001" customHeight="1">
      <c r="A87" s="226" t="s">
        <v>42</v>
      </c>
      <c r="B87" s="988" t="s">
        <v>73</v>
      </c>
      <c r="C87" s="988"/>
      <c r="D87" s="988"/>
      <c r="E87" s="988"/>
      <c r="F87" s="988"/>
      <c r="G87" s="988"/>
      <c r="H87" s="989"/>
      <c r="I87" s="406">
        <f>'Eq. Lavador'!J10</f>
        <v>13.553531250000001</v>
      </c>
      <c r="J87"/>
    </row>
    <row r="88" spans="1:10" s="184" customFormat="1" ht="20.100000000000001" customHeight="1">
      <c r="A88" s="226" t="s">
        <v>44</v>
      </c>
      <c r="B88" s="988" t="s">
        <v>74</v>
      </c>
      <c r="C88" s="988"/>
      <c r="D88" s="988"/>
      <c r="E88" s="988"/>
      <c r="F88" s="988"/>
      <c r="G88" s="988"/>
      <c r="H88" s="989"/>
      <c r="I88" s="406"/>
    </row>
    <row r="89" spans="1:10" s="184" customFormat="1" ht="20.100000000000001" customHeight="1">
      <c r="A89" s="1001" t="s">
        <v>75</v>
      </c>
      <c r="B89" s="1001"/>
      <c r="C89" s="1001"/>
      <c r="D89" s="1001"/>
      <c r="E89" s="1001"/>
      <c r="F89" s="1001"/>
      <c r="G89" s="1001"/>
      <c r="H89" s="1007"/>
      <c r="I89" s="407">
        <f t="shared" ref="I89" si="15">TRUNC(SUM(I85:I88),2)</f>
        <v>332.08</v>
      </c>
    </row>
    <row r="90" spans="1:10" s="184" customFormat="1" ht="20.100000000000001" hidden="1" customHeight="1">
      <c r="A90" s="1072"/>
      <c r="B90" s="1072"/>
      <c r="C90" s="1072"/>
      <c r="D90" s="1072"/>
      <c r="E90" s="1072"/>
      <c r="F90" s="1072"/>
      <c r="G90" s="1072"/>
      <c r="H90" s="1072"/>
      <c r="I90" s="1073"/>
    </row>
    <row r="91" spans="1:10" s="184" customFormat="1" ht="19.5" hidden="1" customHeight="1">
      <c r="A91" s="999" t="s">
        <v>76</v>
      </c>
      <c r="B91" s="999"/>
      <c r="C91" s="999"/>
      <c r="D91" s="999"/>
      <c r="E91" s="999"/>
      <c r="F91" s="999"/>
      <c r="G91" s="999"/>
      <c r="H91" s="999"/>
      <c r="I91" s="999"/>
    </row>
    <row r="92" spans="1:10" s="184" customFormat="1" ht="20.100000000000001" customHeight="1">
      <c r="A92" s="1067" t="s">
        <v>274</v>
      </c>
      <c r="B92" s="1068"/>
      <c r="C92" s="1068"/>
      <c r="D92" s="1068"/>
      <c r="E92" s="1068"/>
      <c r="F92" s="1068"/>
      <c r="G92" s="1068"/>
      <c r="H92" s="1068"/>
      <c r="I92" s="1069"/>
    </row>
    <row r="93" spans="1:10" s="184" customFormat="1" ht="20.100000000000001" customHeight="1">
      <c r="A93" s="250">
        <v>6</v>
      </c>
      <c r="B93" s="985" t="s">
        <v>88</v>
      </c>
      <c r="C93" s="985"/>
      <c r="D93" s="985"/>
      <c r="E93" s="985"/>
      <c r="F93" s="985"/>
      <c r="G93" s="985"/>
      <c r="H93" s="250" t="s">
        <v>59</v>
      </c>
      <c r="I93" s="429" t="s">
        <v>60</v>
      </c>
    </row>
    <row r="94" spans="1:10" s="184" customFormat="1" ht="25.2" customHeight="1">
      <c r="A94" s="226" t="s">
        <v>38</v>
      </c>
      <c r="B94" s="988" t="s">
        <v>90</v>
      </c>
      <c r="C94" s="988"/>
      <c r="D94" s="988"/>
      <c r="E94" s="988"/>
      <c r="F94" s="988"/>
      <c r="G94" s="988"/>
      <c r="H94" s="425">
        <v>0</v>
      </c>
      <c r="I94" s="406">
        <f>ROUND(H94*I111,2)</f>
        <v>0</v>
      </c>
    </row>
    <row r="95" spans="1:10" s="184" customFormat="1" ht="22.95" customHeight="1">
      <c r="A95" s="226" t="s">
        <v>40</v>
      </c>
      <c r="B95" s="988" t="s">
        <v>91</v>
      </c>
      <c r="C95" s="988"/>
      <c r="D95" s="988"/>
      <c r="E95" s="988"/>
      <c r="F95" s="988"/>
      <c r="G95" s="988"/>
      <c r="H95" s="425">
        <v>0</v>
      </c>
      <c r="I95" s="406">
        <f>ROUND((I111+I94)*H95,2)</f>
        <v>0</v>
      </c>
    </row>
    <row r="96" spans="1:10" s="184" customFormat="1" ht="21" customHeight="1">
      <c r="A96" s="955" t="s">
        <v>42</v>
      </c>
      <c r="B96" s="988" t="s">
        <v>92</v>
      </c>
      <c r="C96" s="988"/>
      <c r="D96" s="988"/>
      <c r="E96" s="988"/>
      <c r="F96" s="988"/>
      <c r="G96" s="988"/>
      <c r="H96" s="426">
        <f>SUM(H98:H101)</f>
        <v>0</v>
      </c>
      <c r="I96" s="406">
        <f>TRUNC(SUM(I98:I101),2)</f>
        <v>0</v>
      </c>
    </row>
    <row r="97" spans="1:10" s="184" customFormat="1" ht="23.25" customHeight="1">
      <c r="A97" s="955"/>
      <c r="B97" s="988" t="s">
        <v>343</v>
      </c>
      <c r="C97" s="988"/>
      <c r="D97" s="988"/>
      <c r="E97" s="988"/>
      <c r="F97" s="988"/>
      <c r="G97" s="988"/>
      <c r="H97" s="427"/>
      <c r="I97" s="406"/>
    </row>
    <row r="98" spans="1:10" s="184" customFormat="1" ht="20.100000000000001" customHeight="1">
      <c r="A98" s="955"/>
      <c r="B98" s="1000" t="s">
        <v>354</v>
      </c>
      <c r="C98" s="1000"/>
      <c r="D98" s="1000"/>
      <c r="E98" s="1000"/>
      <c r="F98" s="1000"/>
      <c r="G98" s="1000"/>
      <c r="H98" s="428">
        <v>0</v>
      </c>
      <c r="I98" s="406">
        <f>ROUND(I113*H98,2)</f>
        <v>0</v>
      </c>
    </row>
    <row r="99" spans="1:10" s="184" customFormat="1" ht="27.75" customHeight="1">
      <c r="A99" s="955"/>
      <c r="B99" s="1000" t="s">
        <v>353</v>
      </c>
      <c r="C99" s="1000"/>
      <c r="D99" s="1000"/>
      <c r="E99" s="1000"/>
      <c r="F99" s="1000"/>
      <c r="G99" s="1000"/>
      <c r="H99" s="428">
        <v>0</v>
      </c>
      <c r="I99" s="406">
        <f>ROUND(I113*H99,2)</f>
        <v>0</v>
      </c>
    </row>
    <row r="100" spans="1:10" s="184" customFormat="1" ht="20.100000000000001" customHeight="1">
      <c r="A100" s="955"/>
      <c r="B100" s="988" t="s">
        <v>352</v>
      </c>
      <c r="C100" s="1000"/>
      <c r="D100" s="1000"/>
      <c r="E100" s="1000"/>
      <c r="F100" s="1000"/>
      <c r="G100" s="1000"/>
      <c r="H100" s="428">
        <v>0</v>
      </c>
      <c r="I100" s="406">
        <f>ROUND(I113*H100,2)</f>
        <v>0</v>
      </c>
    </row>
    <row r="101" spans="1:10" s="184" customFormat="1" ht="20.100000000000001" customHeight="1">
      <c r="A101" s="1339"/>
      <c r="B101" s="988" t="s">
        <v>675</v>
      </c>
      <c r="C101" s="1000"/>
      <c r="D101" s="1000"/>
      <c r="E101" s="1000"/>
      <c r="F101" s="1000"/>
      <c r="G101" s="1000"/>
      <c r="H101" s="428">
        <v>0</v>
      </c>
      <c r="I101" s="406">
        <f>ROUND(I113*H101,2)</f>
        <v>0</v>
      </c>
      <c r="J101"/>
    </row>
    <row r="102" spans="1:10" s="184" customFormat="1" ht="20.100000000000001" customHeight="1">
      <c r="A102" s="1001" t="s">
        <v>344</v>
      </c>
      <c r="B102" s="1001"/>
      <c r="C102" s="1001"/>
      <c r="D102" s="1001"/>
      <c r="E102" s="1001"/>
      <c r="F102" s="1001"/>
      <c r="G102" s="1001"/>
      <c r="H102" s="1007"/>
      <c r="I102" s="407">
        <f t="shared" ref="I102" si="16">TRUNC(SUM(I94:I96),2)</f>
        <v>0</v>
      </c>
    </row>
    <row r="103" spans="1:10" s="184" customFormat="1" ht="16.5" customHeight="1">
      <c r="A103" s="997"/>
      <c r="B103" s="997"/>
      <c r="C103" s="997"/>
      <c r="D103" s="997"/>
      <c r="E103" s="997"/>
      <c r="F103" s="997"/>
      <c r="G103" s="997"/>
      <c r="H103" s="997"/>
      <c r="I103" s="998"/>
    </row>
    <row r="104" spans="1:10" s="184" customFormat="1" ht="20.100000000000001" customHeight="1">
      <c r="A104" s="1078" t="s">
        <v>218</v>
      </c>
      <c r="B104" s="1079"/>
      <c r="C104" s="1079"/>
      <c r="D104" s="1079"/>
      <c r="E104" s="1079"/>
      <c r="F104" s="1079"/>
      <c r="G104" s="1079"/>
      <c r="H104" s="1079"/>
      <c r="I104" s="1080"/>
    </row>
    <row r="105" spans="1:10" s="184" customFormat="1" ht="20.100000000000001" customHeight="1">
      <c r="A105" s="985" t="s">
        <v>93</v>
      </c>
      <c r="B105" s="985"/>
      <c r="C105" s="985"/>
      <c r="D105" s="985"/>
      <c r="E105" s="985"/>
      <c r="F105" s="985"/>
      <c r="G105" s="985"/>
      <c r="H105" s="985"/>
      <c r="I105" s="404" t="s">
        <v>60</v>
      </c>
    </row>
    <row r="106" spans="1:10" s="184" customFormat="1" ht="22.2" customHeight="1">
      <c r="A106" s="192" t="s">
        <v>38</v>
      </c>
      <c r="B106" s="988" t="s">
        <v>94</v>
      </c>
      <c r="C106" s="988"/>
      <c r="D106" s="988"/>
      <c r="E106" s="988"/>
      <c r="F106" s="988"/>
      <c r="G106" s="988"/>
      <c r="H106" s="989"/>
      <c r="I106" s="406">
        <f t="shared" ref="I106" si="17">I25</f>
        <v>1577.13</v>
      </c>
    </row>
    <row r="107" spans="1:10" s="184" customFormat="1" ht="20.100000000000001" customHeight="1">
      <c r="A107" s="192" t="s">
        <v>40</v>
      </c>
      <c r="B107" s="988" t="s">
        <v>273</v>
      </c>
      <c r="C107" s="988"/>
      <c r="D107" s="988"/>
      <c r="E107" s="988"/>
      <c r="F107" s="988"/>
      <c r="G107" s="988"/>
      <c r="H107" s="989"/>
      <c r="I107" s="406">
        <f t="shared" ref="I107" si="18">I61</f>
        <v>1214.9699999999998</v>
      </c>
    </row>
    <row r="108" spans="1:10" s="184" customFormat="1" ht="20.100000000000001" customHeight="1">
      <c r="A108" s="192" t="s">
        <v>42</v>
      </c>
      <c r="B108" s="988" t="s">
        <v>272</v>
      </c>
      <c r="C108" s="988"/>
      <c r="D108" s="988"/>
      <c r="E108" s="988"/>
      <c r="F108" s="988"/>
      <c r="G108" s="988"/>
      <c r="H108" s="989"/>
      <c r="I108" s="406">
        <f t="shared" ref="I108" si="19">I70</f>
        <v>119.80000000000001</v>
      </c>
    </row>
    <row r="109" spans="1:10" s="184" customFormat="1" ht="20.100000000000001" customHeight="1">
      <c r="A109" s="192" t="s">
        <v>44</v>
      </c>
      <c r="B109" s="988" t="s">
        <v>271</v>
      </c>
      <c r="C109" s="988"/>
      <c r="D109" s="988"/>
      <c r="E109" s="988"/>
      <c r="F109" s="988"/>
      <c r="G109" s="988"/>
      <c r="H109" s="989"/>
      <c r="I109" s="406">
        <f t="shared" ref="I109" si="20">I82</f>
        <v>192.44</v>
      </c>
    </row>
    <row r="110" spans="1:10" s="184" customFormat="1" ht="20.100000000000001" customHeight="1">
      <c r="A110" s="192" t="s">
        <v>27</v>
      </c>
      <c r="B110" s="988" t="s">
        <v>270</v>
      </c>
      <c r="C110" s="988"/>
      <c r="D110" s="988"/>
      <c r="E110" s="988"/>
      <c r="F110" s="988"/>
      <c r="G110" s="988"/>
      <c r="H110" s="989"/>
      <c r="I110" s="406">
        <f t="shared" ref="I110" si="21">I89</f>
        <v>332.08</v>
      </c>
    </row>
    <row r="111" spans="1:10" s="184" customFormat="1" ht="20.100000000000001" customHeight="1">
      <c r="A111" s="1002" t="s">
        <v>342</v>
      </c>
      <c r="B111" s="1002"/>
      <c r="C111" s="1002"/>
      <c r="D111" s="1002"/>
      <c r="E111" s="1002"/>
      <c r="F111" s="1002"/>
      <c r="G111" s="1002"/>
      <c r="H111" s="1003"/>
      <c r="I111" s="407">
        <f t="shared" ref="I111" si="22">TRUNC(SUM(I106:I110),2)</f>
        <v>3436.42</v>
      </c>
    </row>
    <row r="112" spans="1:10" s="184" customFormat="1" ht="20.100000000000001" customHeight="1">
      <c r="A112" s="223" t="s">
        <v>67</v>
      </c>
      <c r="B112" s="988" t="s">
        <v>269</v>
      </c>
      <c r="C112" s="988"/>
      <c r="D112" s="988"/>
      <c r="E112" s="988"/>
      <c r="F112" s="988"/>
      <c r="G112" s="988"/>
      <c r="H112" s="989"/>
      <c r="I112" s="406">
        <f t="shared" ref="I112" si="23">I102</f>
        <v>0</v>
      </c>
    </row>
    <row r="113" spans="1:9" s="184" customFormat="1" ht="20.100000000000001" customHeight="1">
      <c r="A113" s="1004" t="s">
        <v>398</v>
      </c>
      <c r="B113" s="1004"/>
      <c r="C113" s="1004"/>
      <c r="D113" s="1004"/>
      <c r="E113" s="1004"/>
      <c r="F113" s="1004"/>
      <c r="G113" s="1004"/>
      <c r="H113" s="1004"/>
      <c r="I113" s="443">
        <f>TRUNC((I111+I94+I95)/(1-H96),2)</f>
        <v>3436.42</v>
      </c>
    </row>
    <row r="114" spans="1:9" s="184" customFormat="1" ht="20.100000000000001" customHeight="1">
      <c r="A114" s="193"/>
      <c r="B114" s="193"/>
      <c r="C114" s="193"/>
      <c r="D114" s="193"/>
      <c r="E114" s="193"/>
      <c r="F114" s="193"/>
      <c r="G114" s="193"/>
      <c r="H114" s="194"/>
      <c r="I114" s="195"/>
    </row>
    <row r="115" spans="1:9" customFormat="1" ht="15" customHeight="1">
      <c r="A115" s="1043"/>
      <c r="B115" s="1043"/>
      <c r="C115" s="1043"/>
      <c r="D115" s="1043"/>
      <c r="E115" s="104"/>
      <c r="F115" s="104"/>
      <c r="G115" s="104"/>
      <c r="H115" s="104"/>
      <c r="I115" s="104"/>
    </row>
    <row r="116" spans="1:9" customFormat="1" ht="15" customHeight="1">
      <c r="A116" s="617"/>
      <c r="B116" s="617"/>
      <c r="C116" s="617"/>
      <c r="D116" s="617"/>
      <c r="E116" s="104"/>
      <c r="F116" s="104"/>
      <c r="G116" s="104"/>
      <c r="H116" s="104"/>
      <c r="I116" s="104"/>
    </row>
    <row r="117" spans="1:9" customFormat="1" ht="15" customHeight="1">
      <c r="A117" s="1040"/>
      <c r="B117" s="1040"/>
      <c r="C117" s="1040"/>
      <c r="D117" s="1040"/>
      <c r="E117" s="1040"/>
      <c r="F117" s="1040"/>
      <c r="G117" s="1040"/>
      <c r="H117" s="1040"/>
      <c r="I117" s="1040"/>
    </row>
    <row r="118" spans="1:9" customFormat="1" ht="15" customHeight="1">
      <c r="A118" s="1040"/>
      <c r="B118" s="1040"/>
      <c r="C118" s="1040"/>
      <c r="D118" s="1040"/>
      <c r="E118" s="1040"/>
      <c r="F118" s="1040"/>
      <c r="G118" s="1040"/>
      <c r="H118" s="1040"/>
      <c r="I118" s="1040"/>
    </row>
    <row r="119" spans="1:9" customFormat="1" ht="15" customHeight="1">
      <c r="A119" s="1066"/>
      <c r="B119" s="1066"/>
      <c r="C119" s="1066"/>
      <c r="D119" s="1066"/>
      <c r="E119" s="1066"/>
      <c r="F119" s="1066"/>
      <c r="G119" s="1066"/>
      <c r="H119" s="1066"/>
      <c r="I119" s="1066"/>
    </row>
    <row r="120" spans="1:9" customFormat="1" ht="15" customHeight="1">
      <c r="A120" s="104"/>
      <c r="B120" s="104"/>
      <c r="C120" s="104"/>
      <c r="D120" s="104"/>
      <c r="E120" s="104"/>
      <c r="F120" s="104"/>
      <c r="G120" s="104"/>
      <c r="H120" s="104"/>
      <c r="I120" s="104"/>
    </row>
    <row r="121" spans="1:9" customFormat="1" ht="21.75" customHeight="1"/>
    <row r="122" spans="1:9" customFormat="1" ht="19.2" customHeight="1"/>
    <row r="123" spans="1:9" customFormat="1" ht="20.100000000000001" customHeight="1"/>
    <row r="124" spans="1:9" customFormat="1" ht="44.4" customHeight="1"/>
    <row r="125" spans="1:9" customFormat="1" ht="34.950000000000003" customHeight="1"/>
    <row r="126" spans="1:9" customFormat="1" ht="31.2" customHeight="1"/>
    <row r="127" spans="1:9" customFormat="1" ht="34.950000000000003" customHeight="1"/>
    <row r="128" spans="1:9" customFormat="1" ht="31.95" customHeight="1"/>
    <row r="129" spans="8:222" customFormat="1" ht="14.4"/>
    <row r="130" spans="8:222" customFormat="1" ht="19.2" customHeight="1"/>
    <row r="131" spans="8:222" customFormat="1" ht="14.4"/>
    <row r="132" spans="8:222" customFormat="1" ht="19.2" customHeight="1"/>
    <row r="133" spans="8:222" customFormat="1" ht="20.399999999999999" customHeight="1"/>
    <row r="134" spans="8:222" s="184" customFormat="1">
      <c r="H134" s="201"/>
      <c r="I134" s="202"/>
      <c r="HN134" s="185"/>
    </row>
  </sheetData>
  <mergeCells count="142">
    <mergeCell ref="A115:D115"/>
    <mergeCell ref="A117:I118"/>
    <mergeCell ref="A1:H1"/>
    <mergeCell ref="B48:F48"/>
    <mergeCell ref="B47:E47"/>
    <mergeCell ref="A104:I104"/>
    <mergeCell ref="A34:I34"/>
    <mergeCell ref="A45:I45"/>
    <mergeCell ref="A56:I56"/>
    <mergeCell ref="A62:I62"/>
    <mergeCell ref="A71:I71"/>
    <mergeCell ref="A91:I91"/>
    <mergeCell ref="B93:G93"/>
    <mergeCell ref="B94:G94"/>
    <mergeCell ref="B95:G95"/>
    <mergeCell ref="B85:H85"/>
    <mergeCell ref="B86:H86"/>
    <mergeCell ref="B87:H87"/>
    <mergeCell ref="B88:H88"/>
    <mergeCell ref="A89:H89"/>
    <mergeCell ref="A90:I90"/>
    <mergeCell ref="A92:I92"/>
    <mergeCell ref="B79:G79"/>
    <mergeCell ref="A80:G80"/>
    <mergeCell ref="B81:G81"/>
    <mergeCell ref="A82:G82"/>
    <mergeCell ref="A113:H113"/>
    <mergeCell ref="B107:H107"/>
    <mergeCell ref="B108:H108"/>
    <mergeCell ref="B109:H109"/>
    <mergeCell ref="B110:H110"/>
    <mergeCell ref="A111:H111"/>
    <mergeCell ref="B112:H112"/>
    <mergeCell ref="B100:G100"/>
    <mergeCell ref="A102:H102"/>
    <mergeCell ref="A103:I103"/>
    <mergeCell ref="A105:H105"/>
    <mergeCell ref="B106:H106"/>
    <mergeCell ref="A96:A100"/>
    <mergeCell ref="B96:G96"/>
    <mergeCell ref="B97:G97"/>
    <mergeCell ref="B98:G98"/>
    <mergeCell ref="B99:G99"/>
    <mergeCell ref="B84:H84"/>
    <mergeCell ref="A83:I83"/>
    <mergeCell ref="B101:G101"/>
    <mergeCell ref="B73:G73"/>
    <mergeCell ref="B74:G74"/>
    <mergeCell ref="B75:G75"/>
    <mergeCell ref="B76:G76"/>
    <mergeCell ref="B77:G77"/>
    <mergeCell ref="B78:G78"/>
    <mergeCell ref="B67:G67"/>
    <mergeCell ref="B68:G68"/>
    <mergeCell ref="B69:G69"/>
    <mergeCell ref="A70:G70"/>
    <mergeCell ref="B72:H72"/>
    <mergeCell ref="A61:G61"/>
    <mergeCell ref="B63:H63"/>
    <mergeCell ref="B64:G64"/>
    <mergeCell ref="B65:G65"/>
    <mergeCell ref="B66:G66"/>
    <mergeCell ref="A55:I55"/>
    <mergeCell ref="B57:G57"/>
    <mergeCell ref="B58:G58"/>
    <mergeCell ref="B59:G59"/>
    <mergeCell ref="B60:G60"/>
    <mergeCell ref="B49:H49"/>
    <mergeCell ref="B50:H50"/>
    <mergeCell ref="B51:H51"/>
    <mergeCell ref="B52:H52"/>
    <mergeCell ref="B53:H53"/>
    <mergeCell ref="A54:I54"/>
    <mergeCell ref="GW47:HD47"/>
    <mergeCell ref="FA47:FH47"/>
    <mergeCell ref="FI47:FP47"/>
    <mergeCell ref="FQ47:FX47"/>
    <mergeCell ref="FY47:GF47"/>
    <mergeCell ref="GG47:GN47"/>
    <mergeCell ref="GO47:GV47"/>
    <mergeCell ref="DE47:DL47"/>
    <mergeCell ref="DM47:DT47"/>
    <mergeCell ref="DU47:EB47"/>
    <mergeCell ref="EC47:EJ47"/>
    <mergeCell ref="EK47:ER47"/>
    <mergeCell ref="ES47:EZ47"/>
    <mergeCell ref="BI47:BP47"/>
    <mergeCell ref="BQ47:BX47"/>
    <mergeCell ref="BY47:CF47"/>
    <mergeCell ref="CG47:CN47"/>
    <mergeCell ref="CO47:CV47"/>
    <mergeCell ref="B40:G40"/>
    <mergeCell ref="B41:G41"/>
    <mergeCell ref="B30:G30"/>
    <mergeCell ref="A31:G31"/>
    <mergeCell ref="B32:G32"/>
    <mergeCell ref="A33:G33"/>
    <mergeCell ref="B35:G35"/>
    <mergeCell ref="CW47:DD47"/>
    <mergeCell ref="J47:N47"/>
    <mergeCell ref="U47:AB47"/>
    <mergeCell ref="AC47:AJ47"/>
    <mergeCell ref="AK47:AR47"/>
    <mergeCell ref="AS47:AZ47"/>
    <mergeCell ref="BA47:BH47"/>
    <mergeCell ref="B42:G42"/>
    <mergeCell ref="B43:G43"/>
    <mergeCell ref="A44:G44"/>
    <mergeCell ref="B46:H46"/>
    <mergeCell ref="A19:H19"/>
    <mergeCell ref="B21:G21"/>
    <mergeCell ref="B22:H22"/>
    <mergeCell ref="B23:G23"/>
    <mergeCell ref="A20:I20"/>
    <mergeCell ref="B36:G36"/>
    <mergeCell ref="B37:G37"/>
    <mergeCell ref="B38:G38"/>
    <mergeCell ref="B39:G39"/>
    <mergeCell ref="A119:I119"/>
    <mergeCell ref="B5:H5"/>
    <mergeCell ref="B6:H6"/>
    <mergeCell ref="A7:I7"/>
    <mergeCell ref="A8:F8"/>
    <mergeCell ref="G8:H8"/>
    <mergeCell ref="A2:I2"/>
    <mergeCell ref="B3:H3"/>
    <mergeCell ref="B4:H4"/>
    <mergeCell ref="B15:H15"/>
    <mergeCell ref="B16:H16"/>
    <mergeCell ref="B17:H17"/>
    <mergeCell ref="B12:H12"/>
    <mergeCell ref="B13:H13"/>
    <mergeCell ref="B14:H14"/>
    <mergeCell ref="A9:F9"/>
    <mergeCell ref="G9:H9"/>
    <mergeCell ref="B11:H11"/>
    <mergeCell ref="B24:H24"/>
    <mergeCell ref="A25:H25"/>
    <mergeCell ref="B28:G28"/>
    <mergeCell ref="B29:G29"/>
    <mergeCell ref="A27:I27"/>
    <mergeCell ref="A26:I26"/>
  </mergeCells>
  <pageMargins left="0.23622047244094491" right="0.23622047244094491" top="0.74803149606299213" bottom="0.74803149606299213" header="0.31496062992125984" footer="0.31496062992125984"/>
  <pageSetup paperSize="9" scale="1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2</vt:i4>
      </vt:variant>
    </vt:vector>
  </HeadingPairs>
  <TitlesOfParts>
    <vt:vector size="24" baseType="lpstr">
      <vt:lpstr>Dados da empresa</vt:lpstr>
      <vt:lpstr>Instruções de preenchimento</vt:lpstr>
      <vt:lpstr>Proposta GLOBAL</vt:lpstr>
      <vt:lpstr>Lavador</vt:lpstr>
      <vt:lpstr>Limpeza</vt:lpstr>
      <vt:lpstr>Servente c VT PVH</vt:lpstr>
      <vt:lpstr>Servente c VT JPN</vt:lpstr>
      <vt:lpstr>Servente Sem VT</vt:lpstr>
      <vt:lpstr>Lavador c VT PVH</vt:lpstr>
      <vt:lpstr>Lavador c VT JPN</vt:lpstr>
      <vt:lpstr>Lavador Sem VT</vt:lpstr>
      <vt:lpstr>Uniformes</vt:lpstr>
      <vt:lpstr>área</vt:lpstr>
      <vt:lpstr>Uniforme</vt:lpstr>
      <vt:lpstr>Equip limpeza</vt:lpstr>
      <vt:lpstr>Equip lavador</vt:lpstr>
      <vt:lpstr>Mat. Limpeza</vt:lpstr>
      <vt:lpstr>Eq. Limpeza</vt:lpstr>
      <vt:lpstr>Mat. Lavador</vt:lpstr>
      <vt:lpstr>Eq. Lavador</vt:lpstr>
      <vt:lpstr>Qual. Econ-Financ.</vt:lpstr>
      <vt:lpstr>Área Total</vt:lpstr>
      <vt:lpstr>'Equip limpeza'!Area_de_impressao</vt:lpstr>
      <vt:lpstr>Limpeza!Area_de_impressao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ALEXANDRE GARCIA DE SOUZA</dc:creator>
  <cp:lastModifiedBy>ADAIR JOSE DA SILVA</cp:lastModifiedBy>
  <cp:revision>0</cp:revision>
  <cp:lastPrinted>2018-10-25T12:53:06Z</cp:lastPrinted>
  <dcterms:created xsi:type="dcterms:W3CDTF">2013-04-17T10:31:46Z</dcterms:created>
  <dcterms:modified xsi:type="dcterms:W3CDTF">2018-11-20T20:37:04Z</dcterms:modified>
  <dc:language>pt-BR</dc:language>
</cp:coreProperties>
</file>